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6"/>
  </bookViews>
  <sheets>
    <sheet name="BILJINO VII-IX 2011." sheetId="1" r:id="rId1"/>
    <sheet name="IZVEŠTAJ VII-IX 2011." sheetId="2" r:id="rId2"/>
    <sheet name="I REBALANS 2011." sheetId="3" r:id="rId3"/>
    <sheet name="II REBALANS 2011." sheetId="4" r:id="rId4"/>
    <sheet name="FP ZA 2012." sheetId="5" r:id="rId5"/>
    <sheet name="Rebalans II 2012.proba " sheetId="6" r:id="rId6"/>
    <sheet name="FP za 2014,2015 I 2016. pož 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<sst xmlns="http://schemas.openxmlformats.org/spreadsheetml/2006/main" count="4947" uniqueCount="728">
  <si>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</si>
  <si>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</si>
  <si>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</si>
  <si>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</si>
  <si>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</si>
  <si>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</si>
  <si>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</si>
  <si>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</si>
  <si>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</si>
  <si>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</si>
  <si>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</si>
  <si>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</si>
  <si>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</si>
  <si>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</si>
  <si>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</si>
  <si>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</si>
  <si>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</si>
  <si>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</si>
  <si>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</si>
  <si>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</si>
  <si>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</si>
  <si>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</si>
  <si>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</si>
  <si>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</si>
  <si>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</si>
  <si>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</si>
  <si>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</si>
  <si>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</si>
  <si>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</si>
  <si>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</si>
  <si>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</si>
  <si>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</si>
  <si>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</si>
  <si>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</si>
  <si>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</si>
  <si>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</si>
  <si>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</si>
  <si>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</si>
  <si>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</si>
  <si>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</si>
  <si>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</si>
  <si>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</si>
  <si>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</si>
  <si>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</si>
  <si>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</si>
  <si>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</si>
  <si>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</si>
  <si>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</si>
  <si>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</si>
  <si>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</si>
  <si>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</si>
  <si>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</si>
  <si>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</si>
  <si>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</si>
  <si>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</si>
  <si>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</si>
  <si>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</si>
  <si>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</si>
  <si>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</si>
  <si>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</si>
  <si>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</si>
  <si>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</si>
  <si>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</si>
  <si>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</si>
  <si>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</si>
  <si>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</si>
  <si>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</si>
  <si>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</si>
  <si>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</si>
  <si>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</si>
  <si>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</si>
  <si>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</si>
  <si>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</si>
  <si>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</si>
  <si>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</si>
  <si>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</si>
  <si>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</si>
  <si>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</si>
  <si>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</si>
  <si>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</si>
  <si>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</si>
  <si>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</si>
  <si>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</si>
  <si>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</si>
  <si>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</si>
  <si>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</si>
  <si>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</si>
  <si>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</si>
  <si>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</si>
  <si>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</si>
  <si>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</si>
  <si>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</si>
  <si>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</si>
  <si>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</si>
  <si>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</si>
  <si>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</si>
  <si>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</si>
  <si>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</si>
  <si>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</si>
  <si>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</si>
  <si>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</si>
  <si>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</si>
  <si>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</si>
  <si>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</si>
  <si>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</si>
  <si>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</si>
  <si>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</si>
  <si>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</si>
  <si>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</si>
  <si>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</si>
  <si>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</si>
  <si>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</si>
  <si>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</si>
  <si>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</si>
  <si>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</si>
  <si>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</si>
  <si>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</si>
  <si>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</si>
  <si>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</si>
  <si>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</si>
  <si>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</si>
  <si>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</si>
  <si>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</si>
  <si>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</si>
  <si>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</si>
  <si>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</si>
  <si>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</si>
  <si>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</si>
  <si>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</si>
  <si>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</si>
  <si>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</si>
  <si>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</si>
  <si>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</si>
  <si>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</si>
  <si>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</si>
  <si>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</si>
  <si>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</si>
  <si>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</si>
  <si>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</si>
  <si>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</si>
  <si>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</si>
  <si>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</si>
  <si>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</si>
  <si>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</si>
  <si>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</si>
  <si>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</si>
  <si>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</si>
  <si>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</si>
  <si>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</si>
  <si>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</si>
  <si>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</si>
  <si>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</si>
  <si>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</si>
  <si>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</si>
  <si>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</si>
  <si>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</si>
  <si>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</si>
  <si>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</si>
  <si>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</si>
  <si>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</si>
  <si>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</si>
  <si>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</si>
  <si>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</si>
  <si>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</si>
  <si>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</si>
  <si>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</si>
  <si>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</si>
  <si>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</si>
  <si>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</si>
  <si>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</si>
  <si>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</si>
  <si>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</si>
  <si>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</si>
  <si>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</si>
  <si>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</si>
  <si>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</si>
  <si>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</si>
  <si>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</si>
  <si>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</si>
  <si>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</si>
  <si>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</si>
  <si>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</si>
  <si>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</si>
  <si>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</si>
  <si>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</si>
  <si>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</si>
  <si>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</si>
  <si>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</si>
  <si>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</si>
  <si>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</si>
  <si>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</si>
  <si>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</si>
  <si>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</si>
  <si>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</si>
  <si>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</si>
  <si>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</si>
  <si>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</si>
  <si>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</si>
  <si>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</si>
  <si>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</si>
  <si>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</si>
  <si>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</si>
  <si>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</si>
  <si>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</si>
  <si>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</si>
  <si>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</si>
  <si>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</si>
  <si>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</si>
  <si>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</si>
  <si>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</si>
  <si>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</si>
  <si>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</si>
  <si>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</si>
  <si>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</si>
  <si>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</si>
  <si>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</si>
  <si>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</si>
  <si>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</si>
  <si>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</si>
  <si>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</si>
  <si>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</si>
  <si>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</si>
  <si>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</si>
  <si>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</si>
  <si>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</si>
  <si>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</si>
  <si>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</si>
  <si>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</si>
  <si>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</si>
  <si>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</si>
  <si>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</si>
  <si>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</si>
  <si>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</si>
  <si>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</si>
  <si>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</si>
  <si>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</si>
  <si>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</si>
  <si>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</si>
  <si>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</si>
  <si>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</si>
  <si>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</si>
  <si>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</si>
  <si>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</si>
  <si>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</si>
  <si>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</si>
  <si>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</si>
  <si>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</si>
  <si>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</si>
  <si>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</si>
  <si>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</si>
  <si>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</si>
  <si>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</si>
  <si>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</si>
  <si>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</si>
  <si>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</si>
  <si>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</si>
  <si>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</si>
  <si>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</si>
  <si>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</si>
  <si>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</si>
  <si>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</si>
  <si>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</si>
  <si>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</si>
  <si>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</si>
  <si>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</si>
  <si>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</si>
  <si>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</si>
  <si>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</si>
  <si>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</si>
  <si>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</si>
  <si>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</si>
  <si>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</si>
  <si>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</si>
  <si>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</si>
  <si>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</si>
  <si>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</si>
  <si>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</si>
  <si>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</si>
  <si>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</si>
  <si>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</si>
  <si>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</si>
  <si>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</si>
  <si>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</si>
  <si>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</si>
  <si>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</si>
  <si>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</si>
  <si>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</si>
  <si>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</si>
  <si>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</si>
  <si>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</si>
  <si>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</si>
  <si>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</si>
  <si>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</si>
  <si>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</si>
  <si>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</si>
  <si>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</si>
  <si>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</si>
  <si>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</si>
  <si>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</si>
  <si>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</si>
  <si>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</si>
  <si>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</si>
  <si>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</si>
  <si>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</si>
  <si>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</si>
  <si>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</si>
  <si>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</si>
  <si>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</si>
  <si>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</si>
  <si>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</si>
  <si>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</si>
  <si>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</si>
  <si>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</si>
  <si>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</si>
  <si>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</si>
  <si>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</si>
  <si>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</si>
  <si>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</si>
  <si>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</si>
  <si>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</si>
  <si>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</si>
  <si>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</si>
  <si>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</si>
  <si>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</si>
  <si>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</si>
  <si>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</si>
  <si>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</si>
  <si>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</si>
  <si>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</si>
  <si>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</si>
  <si>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</si>
  <si>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</si>
  <si>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</si>
  <si>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</si>
  <si>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</si>
  <si>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</si>
  <si>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</si>
  <si>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</si>
  <si>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</si>
  <si>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</si>
  <si>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</si>
  <si>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</si>
  <si>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</si>
  <si>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</si>
  <si>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</si>
  <si>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</si>
  <si>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</si>
  <si>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</si>
  <si>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 xml:space="preserve">PREDLOG  FINANSIJSKOG PLANA ZA 2012. GODINU - UKUPNI PRIHODI </t>
  </si>
  <si>
    <t>PLAN ZA VII-XII 2011. GODINE</t>
  </si>
  <si>
    <t>PREDLOG FINANSIJSKOG PLANA ZA 2012. GODINU</t>
  </si>
  <si>
    <t>SVEGA PRIHODI</t>
  </si>
  <si>
    <t>Indeks rasta</t>
  </si>
  <si>
    <t xml:space="preserve">Struktura za 2012. </t>
  </si>
  <si>
    <t xml:space="preserve">PREDLOG FINANSIJSKOG PLANA RASHODA  I IZDATAKA ZA 2012. GODINU </t>
  </si>
  <si>
    <t>Stomatologija ( po ev.presudi)</t>
  </si>
  <si>
    <t>Opremanje i druge namene</t>
  </si>
  <si>
    <t>UKUPNO</t>
  </si>
  <si>
    <t>PROCENA ukupnog prihoda</t>
  </si>
  <si>
    <t>UKUPAN PLANIRANI PRIHOD</t>
  </si>
  <si>
    <t>PROCENA UKUPNOG PRIHODA</t>
  </si>
  <si>
    <t>Tabela 6. str.5.</t>
  </si>
  <si>
    <t xml:space="preserve">REKAPITULACIJA  II REBALANSA FINANSIJSKOG PLANA RASHODA  I IZDATAKA ZA 2011. GODINU </t>
  </si>
  <si>
    <t>(II  Rebalans u odnosu na planirano po rebalansu usvojenom 07.10.2011. godine)</t>
  </si>
  <si>
    <t xml:space="preserve">I REBALANS </t>
  </si>
  <si>
    <t xml:space="preserve"> OD RZZO</t>
  </si>
  <si>
    <t>SOPSTVENI IZVORI</t>
  </si>
  <si>
    <t>II REBALANS</t>
  </si>
  <si>
    <t>I REBALANS</t>
  </si>
  <si>
    <t xml:space="preserve">R  A  S  H  O  D  I </t>
  </si>
  <si>
    <t>IZNOS</t>
  </si>
  <si>
    <t>Participacija</t>
  </si>
  <si>
    <t xml:space="preserve">Participacija -zubno- </t>
  </si>
  <si>
    <t>UKUPNI PRIHODI</t>
  </si>
  <si>
    <t>RAZLIKA - IZNOS</t>
  </si>
  <si>
    <t>UKUPNO RASHODI I IZDACI</t>
  </si>
  <si>
    <t>RAZLIKA u % (I rebalans =100)</t>
  </si>
  <si>
    <t>Tekuće transakcije od fiz.i pravnih lica (donacije)</t>
  </si>
  <si>
    <t>RAZLIKA (I-II)</t>
  </si>
  <si>
    <t>RAZLIKA IZNOS(I-II)</t>
  </si>
  <si>
    <t xml:space="preserve"> % (I rebalans =100)</t>
  </si>
  <si>
    <t>Jubilarne nagrade</t>
  </si>
  <si>
    <t>Ostale specijalizovane usluge - Grad Požarevac</t>
  </si>
  <si>
    <t xml:space="preserve"> OD RZZO sa participacijom</t>
  </si>
  <si>
    <t>Naknade u naturi- prevoz na rad i pokloni</t>
  </si>
  <si>
    <t xml:space="preserve">ZA INVESTICIJE U 2012. </t>
  </si>
  <si>
    <t xml:space="preserve">namenska sredstva neutrošena u 2011. </t>
  </si>
  <si>
    <t>NAPOMENA: namenska neutrošena sredstva odnose se na stomatologiju ( 5 miliona),budžetska sredstva RFZO (5,540.000), DILS (580.000), Kopaonik (2,780.000)</t>
  </si>
  <si>
    <t>donacije (970.000),depozit neisplaćenih zarada ( 350.000)</t>
  </si>
  <si>
    <t>Za ulaganja u 2012. godini opredeljuje se iznos više ostvarenih prihoda od rashoda i izdataka od oko 11 miliona dinara a u skladu sa usvojenim planom za nabavku opreme i</t>
  </si>
  <si>
    <t>tekuće održavanje objekata.</t>
  </si>
  <si>
    <t>REKAPITULACIJA II REBALANSA FINANSIJSKOG PLANA PRIHODA ZA 2011. GODINU - PO IZVORIMA SREDSTAVA</t>
  </si>
  <si>
    <t>I  Z  D  A  C  I</t>
  </si>
  <si>
    <t>I REBALANS FINANSIJSKOG PLANA ZA 2012. GODINU</t>
  </si>
  <si>
    <t>PLANIRANO ZA 2012.</t>
  </si>
  <si>
    <t xml:space="preserve">I REBALANS  FINANSIJSKOG PLANA RASHODA  I IZDATAKA ZA 2012. GODINU </t>
  </si>
  <si>
    <t>Ttransferi od drugih nivoa vlasti</t>
  </si>
  <si>
    <t>Donacije</t>
  </si>
  <si>
    <t xml:space="preserve">Naknade van ugovora </t>
  </si>
  <si>
    <t xml:space="preserve"> Ekonomska klasifikacija</t>
  </si>
  <si>
    <t>OPIS</t>
  </si>
  <si>
    <t>I REBALANS ZA 2012. UKUPNO</t>
  </si>
  <si>
    <t>Iz budžeta</t>
  </si>
  <si>
    <t>RFZO</t>
  </si>
  <si>
    <t>Sopstveni i ostali</t>
  </si>
  <si>
    <t>Prihodi od imovine</t>
  </si>
  <si>
    <t>UKUPNO OD RFZO</t>
  </si>
  <si>
    <t xml:space="preserve">  FINANSIJSKИ PLANAZA 2012. GODINU - UKUPNI PRIHODI  </t>
  </si>
  <si>
    <t>SVEGA PLANIRANI PRIHODI SA POČETNIM STANJEM</t>
  </si>
  <si>
    <t>Socijalni doprinosi na teret poslodavca</t>
  </si>
  <si>
    <t>Naknade troškova za zaposlene- prevoz</t>
  </si>
  <si>
    <t>Socijalna davanja zaposlenima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</si>
  <si>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</si>
  <si>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</si>
  <si>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</si>
  <si>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</si>
  <si>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</si>
  <si>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</si>
  <si>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</si>
  <si>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</si>
  <si>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Sanitetski materijal</t>
  </si>
  <si>
    <t>Lekovi</t>
  </si>
  <si>
    <t>Zubarski materijal</t>
  </si>
  <si>
    <t xml:space="preserve">AMORTIZACIJA </t>
  </si>
  <si>
    <t>OTPLATA KAMATA I PRATEĆI TR. ZADUŽIVANJA</t>
  </si>
  <si>
    <t>OSTALI RASHODI</t>
  </si>
  <si>
    <t>Porezi, obavezne takse i kazne</t>
  </si>
  <si>
    <t>Naknade u naturi  - markice</t>
  </si>
  <si>
    <t>RASPOLOŽIVO IZ PRETHODNOG PERIODA po Odluci o rasporedu rezultata</t>
  </si>
  <si>
    <t>Primanja od prodaje nepokr. imov.</t>
  </si>
  <si>
    <t>RASHODI I IZDACI ZA PLAN</t>
  </si>
  <si>
    <t>UKUPNI PLANIRANI IZDACI</t>
  </si>
  <si>
    <t>ZGRADE I GRAĐEVINSKI OBJEKTI</t>
  </si>
  <si>
    <t>MAŠINE I OPREMA</t>
  </si>
  <si>
    <t>SANITETSKO VOZILO</t>
  </si>
  <si>
    <t>MEDICINSKI APARATI PO PLANU NABAVKE</t>
  </si>
  <si>
    <t>VOZILA PO PLANU NBAVKE</t>
  </si>
  <si>
    <t>PLAN KAPITALNIH ULAGANJA  - IZDACI</t>
  </si>
  <si>
    <t>str.1.</t>
  </si>
  <si>
    <t>str.2.</t>
  </si>
  <si>
    <t>IZDACI IZ SREDSTAVA SUFICITA IZ  2011.</t>
  </si>
  <si>
    <t>UKUPNO ZA RASHODE I IZDATKE U 2012. GODINI</t>
  </si>
  <si>
    <t>ŠKOLSKI DISPANZER</t>
  </si>
  <si>
    <t>DEČJI DISPANZER</t>
  </si>
  <si>
    <t>DISPANZER ZA ŽENE</t>
  </si>
  <si>
    <t>MEDICINA RADA</t>
  </si>
  <si>
    <t>NAMEŠTAJ</t>
  </si>
  <si>
    <t>SANACIJA SANITARNIH ČVOROVA</t>
  </si>
  <si>
    <t>OPŠTA  I HITNA SLUŽBASLUŽBA</t>
  </si>
  <si>
    <t>SVEGA  RASHODI ZA 2012.</t>
  </si>
  <si>
    <t>potencijalno za plan izdataka</t>
  </si>
  <si>
    <t>ELEKTRO RADOVI NA ZAMENI INSTALACIJA</t>
  </si>
  <si>
    <t>SANACIJA OLUKA I FASADE</t>
  </si>
  <si>
    <t>OSTALA OPREMA</t>
  </si>
  <si>
    <t>UKUPNI RASHODI I IZDACI</t>
  </si>
  <si>
    <t>DEVETOMESEČNI  IZVESTAJ - DZ POZAREVAC 2012</t>
  </si>
  <si>
    <t xml:space="preserve">RASHODI </t>
  </si>
  <si>
    <t>sopstveni i depozit</t>
  </si>
  <si>
    <t>bolovanje i invalidi rada</t>
  </si>
  <si>
    <t>Grad</t>
  </si>
  <si>
    <t>Donacije i budžet RS</t>
  </si>
  <si>
    <t>% ostvarenja</t>
  </si>
  <si>
    <t>struktura rashodau %</t>
  </si>
  <si>
    <t>4120</t>
  </si>
  <si>
    <t>Ukupni socijalni doprinosi poslodavca</t>
  </si>
  <si>
    <t>411 i 412</t>
  </si>
  <si>
    <t>UKUPNE PLATE SA STOMATOLOGIJOM</t>
  </si>
  <si>
    <t>Pokloni za decu zaposlenih</t>
  </si>
  <si>
    <t>Pomoć u med.lečenju zapos.ili člana uže porodice</t>
  </si>
  <si>
    <t>414</t>
  </si>
  <si>
    <t>UKUPNA SOCIJALNA DAVANJA ZAPOSLENIMA</t>
  </si>
  <si>
    <t>Deratizacija</t>
  </si>
  <si>
    <t>Usluge čišćenja</t>
  </si>
  <si>
    <t>Ostale usluge komunikacije</t>
  </si>
  <si>
    <t>Osiguranje zgrada</t>
  </si>
  <si>
    <t>Usluge održavanja računara</t>
  </si>
  <si>
    <t>Izdaci za strucne ispite-clan.kom.i drugo</t>
  </si>
  <si>
    <t>Ostli izdaci za stručno obrazovanje</t>
  </si>
  <si>
    <t>Usluge reklame i propagande</t>
  </si>
  <si>
    <t>Ostale medijske usluge</t>
  </si>
  <si>
    <t xml:space="preserve">Naknade članovima upr.,nadzor. odbora </t>
  </si>
  <si>
    <t>Zdravstvena zaštita po ugovoru</t>
  </si>
  <si>
    <t>Usluge javnog zdravstva</t>
  </si>
  <si>
    <t>Geodetske usluge</t>
  </si>
  <si>
    <t>Usluge očuv.živ.sredine nauke i geodet.usluge</t>
  </si>
  <si>
    <t>Ostale specijalizovane usluge</t>
  </si>
  <si>
    <t>Zidarska radovi</t>
  </si>
  <si>
    <t>Molersko radovi</t>
  </si>
  <si>
    <t>Ostale usluge i materijal za tek.popravke</t>
  </si>
  <si>
    <t>Tekuće popravke i odr.ostalih obhekata</t>
  </si>
  <si>
    <t>Ostle popravke i održavanje opreme</t>
  </si>
  <si>
    <t>Nameštaj</t>
  </si>
  <si>
    <t>Računarska oprema</t>
  </si>
  <si>
    <t>Birotehnička oprema</t>
  </si>
  <si>
    <t>Ugradna oprema</t>
  </si>
  <si>
    <t>Tekuće popravke i odr.mernih i kont.ins.</t>
  </si>
  <si>
    <t>HTZ oprema</t>
  </si>
  <si>
    <t>Ostali administrativni materijal</t>
  </si>
  <si>
    <t>Materijal za med.testove-sanitet.mat.UKUPNO BEZ ZUBNOG</t>
  </si>
  <si>
    <t>Materijal za med.testove-RO mat.</t>
  </si>
  <si>
    <t>AMORTIZACIJA</t>
  </si>
  <si>
    <t xml:space="preserve">OSTALI RASHODI </t>
  </si>
  <si>
    <t>Stalni porez na imovinu</t>
  </si>
  <si>
    <t>SVEGA  RASHODI I-IX 2012 DZP</t>
  </si>
  <si>
    <t>struktura rashoda po izvorima u %</t>
  </si>
  <si>
    <t>struktura izdataka u %</t>
  </si>
  <si>
    <t>Kapitalno održavanje bolnica,domova  zdr.</t>
  </si>
  <si>
    <t>Kapitalno održavanje zgrada i objekata</t>
  </si>
  <si>
    <t>51221</t>
  </si>
  <si>
    <t>Telefoni-faks</t>
  </si>
  <si>
    <t>Elektronska oprema</t>
  </si>
  <si>
    <t>51222</t>
  </si>
  <si>
    <t>Ostale nekretnine i oprema</t>
  </si>
  <si>
    <t>5122 i 5131</t>
  </si>
  <si>
    <t>Administrativna oprema UKUPNO</t>
  </si>
  <si>
    <t>Kompjuterski softver</t>
  </si>
  <si>
    <t>Nematerijalna imovina</t>
  </si>
  <si>
    <t>SVEGA IZDACI I-IX 2012 DZP</t>
  </si>
  <si>
    <t>SVEGA RASHODI I IZDACI I -IX 2012.</t>
  </si>
  <si>
    <t xml:space="preserve">FINANSIJSKI REZULTAT I - IX 2012. </t>
  </si>
  <si>
    <t xml:space="preserve">PRIHODI </t>
  </si>
  <si>
    <t>Tek.trans.od drug.nivoa vlasti u kor.RZZO</t>
  </si>
  <si>
    <t>Tek.tran.od dr.nivoa vlas.u kor.RZZO</t>
  </si>
  <si>
    <t>Prihod od imovine koja prip.imaocu polise-Dunav</t>
  </si>
  <si>
    <t>Prih.od imovine koja prip.imao.polis</t>
  </si>
  <si>
    <t>Pri.od pro.dob.i us.-napl.prih.po fakt.bez PDVa</t>
  </si>
  <si>
    <t>Pri.od pro.dob.i us.-nap.prih.po fak.-sa PDVom</t>
  </si>
  <si>
    <t>Pri.od pro.dob.i us.-napl.prih.po fak.-zubari</t>
  </si>
  <si>
    <t>Prihodi od zakupa-Kopaonik</t>
  </si>
  <si>
    <t>Prihodi od zakupa-ostali zakupi</t>
  </si>
  <si>
    <t>Tek.dob.tran.od fiz.i prav.lica u kor.RZZO</t>
  </si>
  <si>
    <t>Tek.dob.tran.od fiz.i pra.lica u kor.RZZO</t>
  </si>
  <si>
    <t>Mešoviti i neodredjeni prihodi-telefoni</t>
  </si>
  <si>
    <t>Mešoviti i neodredjeni prihodi-ostalo</t>
  </si>
  <si>
    <t>Mešoviti i neodredjeni prihodi-borav.taksa-KOP</t>
  </si>
  <si>
    <t>Mešoviti i neodredjeni prihodi-prevoz kopaonik</t>
  </si>
  <si>
    <t>Memorand.stavke za ref.ras.-bolov.pr.30 d.RZZO</t>
  </si>
  <si>
    <t>Memorand.stavke za ref.ras.-invalidi fond PIO</t>
  </si>
  <si>
    <t>Memorand.stavke za ref.ras.-Skupština grada Beograda</t>
  </si>
  <si>
    <t>Memorand.stavke za ref.ras.iz pret.god.</t>
  </si>
  <si>
    <t>RZZO - van ugovora - sandostatin</t>
  </si>
  <si>
    <t>RZZO - stomatološke usluge- UKUPNO</t>
  </si>
  <si>
    <t>RZZO - stomatološke usluge - plate</t>
  </si>
  <si>
    <t>RZZO - stomatološke usluge - prevoz</t>
  </si>
  <si>
    <t>RZZO - stomatološke usluge - mater.i ost.troškovi</t>
  </si>
  <si>
    <t>RZZO - stomatološke usluge - lekovi</t>
  </si>
  <si>
    <t>RZZO - stomatološke usluge - sanitetski i med,materijal</t>
  </si>
  <si>
    <t>PARTICIPACIJA</t>
  </si>
  <si>
    <t>PRIHODI VAN UGOVORA SA RFZO (otpremnine i jubilarne)</t>
  </si>
  <si>
    <t>Prihodi iz budžeta - AKREDITACIJA</t>
  </si>
  <si>
    <t>Prihodi iz budžeta Republike</t>
  </si>
  <si>
    <t>struktura prihoda po izvorima u %</t>
  </si>
  <si>
    <t>PRIMANJA</t>
  </si>
  <si>
    <t>Primanja od prodaje pokretnih stvari u korisr RFZO</t>
  </si>
  <si>
    <t>SVEGA PRIMANJA OD PROD NEF.IMOVINE I-IV DZP</t>
  </si>
  <si>
    <t>RASPOLOŽIVO IZ PRETHODNE GODINE</t>
  </si>
  <si>
    <t xml:space="preserve">SVEGA PRIHODI I PRIMANJA I - IX 2012. </t>
  </si>
  <si>
    <t>REBALANS 3/4</t>
  </si>
  <si>
    <t>novo</t>
  </si>
  <si>
    <t>ANEKS I</t>
  </si>
  <si>
    <t>SVEGA PRIHODI - IX 2012 DZP</t>
  </si>
  <si>
    <t>II REBALANS FINANSIJSKOG PLANA ZA 2012. GODINU</t>
  </si>
  <si>
    <t xml:space="preserve">II REBALANS 2012. UKUPNO </t>
  </si>
  <si>
    <t>Naknade u naturi  - markice I POKLONI ZA Novu godinu</t>
  </si>
  <si>
    <t>očuvanje životne sredine</t>
  </si>
  <si>
    <t>ostale specijalizovane usluge</t>
  </si>
  <si>
    <t>MEDICINSKI MATERIJAL</t>
  </si>
  <si>
    <t>SANDOSTATIN</t>
  </si>
  <si>
    <t>refundacija PIO za invalide i druge filijale</t>
  </si>
  <si>
    <t>memorand. Stavke iz prethod. Godina</t>
  </si>
  <si>
    <t>Prihodi od Republike - akreditacija</t>
  </si>
  <si>
    <t>moze ovako</t>
  </si>
  <si>
    <t>DRUGA VARIJANTA</t>
  </si>
  <si>
    <t>PRVA VARIJANTA</t>
  </si>
  <si>
    <t>Naknade van ugovora (jubilarne i otpremn.)</t>
  </si>
  <si>
    <t>prva varijanta</t>
  </si>
  <si>
    <t>PRIHODI</t>
  </si>
  <si>
    <t>PROBNA VARIJANTA  II A</t>
  </si>
  <si>
    <t xml:space="preserve">na bazi POSLOVANJA ZA I - X </t>
  </si>
  <si>
    <t>po zakqučku VEĆA SO</t>
  </si>
  <si>
    <t xml:space="preserve">II REBALANS 2012. UKUPNO  na bazi I-X </t>
  </si>
  <si>
    <t>UKUPNO prihodi od prodaje usluga</t>
  </si>
  <si>
    <t>RZZO - stomatološke usluge - UKUPNO</t>
  </si>
  <si>
    <t>UKUPNO IZ OSIGURANJA ZA PRIMARNU</t>
  </si>
  <si>
    <t>Stomatologija I-VI 2012.</t>
  </si>
  <si>
    <t>Plate stomatologija VII-XII</t>
  </si>
  <si>
    <t>Prevoz stomatologija VII-XII</t>
  </si>
  <si>
    <t>Lekovi stomatologija VII-XII</t>
  </si>
  <si>
    <t>Sanitetski materijal stomatologija VII-XII</t>
  </si>
  <si>
    <t>Ostali indirektni troškovi stoma. VII-XII</t>
  </si>
  <si>
    <t>UKUPNO stomatologija VII-XII</t>
  </si>
  <si>
    <t>RFZO - stomatološke usluge</t>
  </si>
  <si>
    <t>razlika I i II rebalansa</t>
  </si>
  <si>
    <t xml:space="preserve"> Van ugovora - sandostatin</t>
  </si>
  <si>
    <t>umanjenje zbog sportskih klubova</t>
  </si>
  <si>
    <t>po Zaključku Gradskog veća 01-02-112/2012-34 od 12,10,2012.</t>
  </si>
  <si>
    <t>PLATE SAMO ZA RPIMARNU ZZ</t>
  </si>
  <si>
    <t>PLATE SAMO STOMATOLOGIJA</t>
  </si>
  <si>
    <t>PLATE UKUPNO</t>
  </si>
  <si>
    <t>Naknade troškova za zaposlene- prevoz UKUPNO</t>
  </si>
  <si>
    <t>Prevoz primarna</t>
  </si>
  <si>
    <t>Prevoz stomatologija</t>
  </si>
  <si>
    <t>nagrade primarna</t>
  </si>
  <si>
    <t>nagrade stomatologija</t>
  </si>
  <si>
    <t>ostali indirektni troškovi STOMATOLOGIJA</t>
  </si>
  <si>
    <t>Nagrade zaposlenima i ostali posebni rashodi- UKUPNO</t>
  </si>
  <si>
    <t>Zubarski materijal UKUPNO</t>
  </si>
  <si>
    <t>Lekovi stomatologija</t>
  </si>
  <si>
    <t>Sanitetski materijal stomatologija</t>
  </si>
  <si>
    <t>RAZLIKA</t>
  </si>
  <si>
    <t xml:space="preserve">II REBALANS  FINANSIJSKOG PLANA RASHODA  I IZDATAKA ZA 2012. GODINU </t>
  </si>
  <si>
    <t>DO SADA UTROŠENO</t>
  </si>
  <si>
    <t>sanacija WC i struja</t>
  </si>
  <si>
    <t>Jović Gradnja</t>
  </si>
  <si>
    <t>3 sparka</t>
  </si>
  <si>
    <t>vivaro</t>
  </si>
  <si>
    <t>sa realnim prihodima i rashodima</t>
  </si>
  <si>
    <t>METODOLOGIJA  I NAPOMENA  za planirano</t>
  </si>
  <si>
    <t>REBALANS II prvi</t>
  </si>
  <si>
    <t>ukupno</t>
  </si>
  <si>
    <t>RAZLIKA ii REB I NOVO</t>
  </si>
  <si>
    <t>NAPOMENA: NABAVKE PREKO OVOG PLANA MOGU SE VRŠITI SAMO ZA IZNOS NAPLAĆENIH POTRAŽIVANJA</t>
  </si>
  <si>
    <t>VEĆIH OD 5 MILIONA I PARTICIPACIJE IZNAD REALNO NAPLAĆENE.</t>
  </si>
  <si>
    <t>2% za kapitaciju X,XI XII</t>
  </si>
  <si>
    <t>Po obračunu za stomatologiju I-VI preko ug.</t>
  </si>
  <si>
    <t xml:space="preserve">RASPOLOŽIVO IZ PRETHODNOG PERIODA </t>
  </si>
  <si>
    <t>Po obračunu sa RFZO za 2011. STOMATOLOGIJA</t>
  </si>
  <si>
    <t>ZUBARSKE STOLICE I INSTRUMENTI</t>
  </si>
  <si>
    <t>Usl.obraz.I usavr.zaposlenih STUMATOL.</t>
  </si>
  <si>
    <t>Socijalna davanja - STOMATOLOGIJA</t>
  </si>
  <si>
    <t>Tekuce popravke I odrz.opreme- ZUB.</t>
  </si>
  <si>
    <t xml:space="preserve">Utrošeno do 30.10.2012. godine oko 670.000,00 a ostatak od </t>
  </si>
  <si>
    <t xml:space="preserve">NAPOMENA: tekuće održavanje zgrada na teret RFZO planirano je na ukupan iznos od </t>
  </si>
  <si>
    <t>planira se za:</t>
  </si>
  <si>
    <t xml:space="preserve">Jović gradnja </t>
  </si>
  <si>
    <t>Struja u upravi</t>
  </si>
  <si>
    <t>WC u staroj MR</t>
  </si>
  <si>
    <t>tekuće održ. U Kostolcu</t>
  </si>
  <si>
    <t xml:space="preserve">DEO </t>
  </si>
  <si>
    <t>II</t>
  </si>
  <si>
    <t>I MIN</t>
  </si>
  <si>
    <t>PRIHOD</t>
  </si>
  <si>
    <t>RASHODI I IZDACI</t>
  </si>
  <si>
    <t xml:space="preserve">RAZLIKA za nabavku opreme </t>
  </si>
  <si>
    <t>I max</t>
  </si>
  <si>
    <t>SA REALNIM RPIHODIMA- prihodi umanjeni za potraživanja osim očekivana 5 miliona dinara</t>
  </si>
  <si>
    <t>nenapl. Part.</t>
  </si>
  <si>
    <t>na mat. Tr iz sopstvenih  za XII 2012.</t>
  </si>
  <si>
    <t>stomatologija</t>
  </si>
  <si>
    <t>Utrošeno za I-X SOP</t>
  </si>
  <si>
    <t>Utrošeno za I-X RFZO</t>
  </si>
  <si>
    <t>OPŠTA  I HITNA SLUŽBA</t>
  </si>
  <si>
    <t>ELEKTRO RADOVI NA ZAMENI INSTALACIJA U DEČJEM DISPANZERU I DRUGIM SL.</t>
  </si>
  <si>
    <t>ELEKTRONSKA OPREMA</t>
  </si>
  <si>
    <t>KOMPJUTERSKA OPREMA I SOFTVER</t>
  </si>
  <si>
    <t>Iz budžeta grada i "DILS"</t>
  </si>
  <si>
    <t>UKUPNI PRIHODI PO II REBALANSU</t>
  </si>
  <si>
    <t>umanjeno za potraživanja</t>
  </si>
  <si>
    <t>PROBNA VARIJANTA  II  -  sopstveni prihodi na nivou ostvarenih za I-X bez naplate potraživanja po fakturama  i uz projekciju pazara proporcionalnom metodom</t>
  </si>
  <si>
    <t>Sredtva od RFZO na bazi sada važećih ugovora</t>
  </si>
  <si>
    <t>umanjenje za manje naplaćenu  part.</t>
  </si>
  <si>
    <t xml:space="preserve">REALAN PRIHOD SVEGA </t>
  </si>
  <si>
    <t>PLANIRANMI IZDACI</t>
  </si>
  <si>
    <t>PROBNA VARIJANTA ( MINIMALNI PRISTUP)</t>
  </si>
  <si>
    <t xml:space="preserve">KONAČNA VERZIJA ZA UO 12.12.2012. </t>
  </si>
  <si>
    <t>UKUPNI PLANIRANI PRIHODI</t>
  </si>
  <si>
    <t>Participacija (ukupno primarna i zubna)</t>
  </si>
  <si>
    <t>Troškovi akreditacije</t>
  </si>
  <si>
    <t xml:space="preserve">II REBALANS  FINANSIJSKOG PLANA -  IZDACI ZA 2012. GODINU </t>
  </si>
  <si>
    <t>UKUPNO IZ RFZO ZA DOM ZDRAVLJA</t>
  </si>
  <si>
    <t>struktura rebalansa II u %</t>
  </si>
  <si>
    <t>Indeks rasta  II/I</t>
  </si>
  <si>
    <t>revidirano 14.12</t>
  </si>
  <si>
    <t xml:space="preserve">UKUPNI PLANIRANI  PRIHODI </t>
  </si>
  <si>
    <t>II REBALANS  FINANSIJSKOG PLANA RASHODA  I IZDATAKA ZA 2012. GODINU  - RASHODI</t>
  </si>
  <si>
    <t>Pazar primarna zz</t>
  </si>
  <si>
    <t>Pazar i fakture zubno</t>
  </si>
  <si>
    <t>prihodi po fakturama primarna zz</t>
  </si>
  <si>
    <t>Prih.od pr.dob.i usl.ili zakupa od čega:</t>
  </si>
  <si>
    <t>OD ČEGA ZA PRIMARNU ZZ</t>
  </si>
  <si>
    <t>ZA STOMATOLOGIJU</t>
  </si>
  <si>
    <t>plate</t>
  </si>
  <si>
    <t>energenti</t>
  </si>
  <si>
    <t>sanitetski i medicinski materijal</t>
  </si>
  <si>
    <t>prevoz na rad i sa rada</t>
  </si>
  <si>
    <t>primarna zz</t>
  </si>
  <si>
    <t xml:space="preserve">plate </t>
  </si>
  <si>
    <t>Transfer između budž.korisnika na istom nivou - RFZO UKUPNO</t>
  </si>
  <si>
    <t>MEDICINSKI MATERIJAL od čega:</t>
  </si>
  <si>
    <t>Strucne usluge- ugovri o delu</t>
  </si>
  <si>
    <t>materijalni i ostali troškovi umanjeni za participaciju</t>
  </si>
  <si>
    <t>ostali materijalni troškovi umanjeni za participaciju</t>
  </si>
  <si>
    <t>Materijal za posebne namene(alat i inventar)</t>
  </si>
  <si>
    <t>Sopstvena sredstva</t>
  </si>
  <si>
    <t>Medicinski aparati</t>
  </si>
  <si>
    <t>Zakup imovine i opreme</t>
  </si>
  <si>
    <t>Usluge za domaćinstvo-pranje veša</t>
  </si>
  <si>
    <t>jubilarne nagrade</t>
  </si>
  <si>
    <t>otpremnine zbog odlaska u penziju</t>
  </si>
  <si>
    <t>Kazne za kašnjenje</t>
  </si>
  <si>
    <t>Novčane kazne po rešenju sudova</t>
  </si>
  <si>
    <t xml:space="preserve">Novčane kazne </t>
  </si>
  <si>
    <t>Ostali porezi (reg.vozila i porez na dobit)</t>
  </si>
  <si>
    <t>Porezi, obavezne takse( sudske)i kazne</t>
  </si>
  <si>
    <t>Medicinske usluge ( ZJZ i podizvođači)</t>
  </si>
  <si>
    <t>Tekuce popravke I odrz.zgrada I objekata ( po planu)</t>
  </si>
  <si>
    <t>Socijalna davanja zaposlenima - ref.bolovanja,otpremnine i solidarne pomoći</t>
  </si>
  <si>
    <t xml:space="preserve"> OPREMA</t>
  </si>
  <si>
    <t xml:space="preserve">Prihodi od  Kopaonika </t>
  </si>
  <si>
    <t>Ostale naknade štete</t>
  </si>
  <si>
    <t>Iz budžeta Grada</t>
  </si>
  <si>
    <t>Ttransferi od drugih nivoa vlasti ( NA OSNOVU PREDLOŽENIH PROJEKATA bez sanacije zgrade u Kostolcu)</t>
  </si>
  <si>
    <t xml:space="preserve">UKUPNI PRIHODI </t>
  </si>
  <si>
    <t>PREDLOG ZA IZMENU</t>
  </si>
  <si>
    <t xml:space="preserve">VOZILA </t>
  </si>
  <si>
    <t>KAPITALNO ODRŽAVANJE ZGRADA</t>
  </si>
  <si>
    <t xml:space="preserve">lekovi </t>
  </si>
  <si>
    <t>Računarska i administrativna oprema</t>
  </si>
  <si>
    <t xml:space="preserve">Sanitetski materijal </t>
  </si>
  <si>
    <t xml:space="preserve">  PEDLOG   FINANSIJSKOG PLANA ZA 2016. GODINU  </t>
  </si>
  <si>
    <t xml:space="preserve">PLAN ZA 2016. </t>
  </si>
  <si>
    <t>411000 i 412000</t>
  </si>
  <si>
    <t>Bruto zarade zaposlenih</t>
  </si>
  <si>
    <t>Sanacija krova i zamena prozora na staroj MR</t>
  </si>
  <si>
    <t xml:space="preserve">  PEDLOG   FINANSIJSKOG PLANA ZA 2016. GODINU  - I rebalans</t>
  </si>
  <si>
    <t>UKUPNO  2016.</t>
  </si>
  <si>
    <t>RASHODI</t>
  </si>
  <si>
    <t xml:space="preserve">SVEGA  RASHODI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</si>
</sst>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171" fontId="3" fillId="0" borderId="2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171" fontId="3" fillId="33" borderId="10" xfId="42" applyFont="1" applyFill="1" applyBorder="1" applyAlignment="1">
      <alignment/>
    </xf>
    <xf numFmtId="171" fontId="2" fillId="33" borderId="10" xfId="42" applyFont="1" applyFill="1" applyBorder="1" applyAlignment="1">
      <alignment/>
    </xf>
    <xf numFmtId="171" fontId="2" fillId="0" borderId="20" xfId="42" applyFont="1" applyBorder="1" applyAlignment="1">
      <alignment/>
    </xf>
    <xf numFmtId="0" fontId="3" fillId="36" borderId="0" xfId="0" applyFont="1" applyFill="1" applyBorder="1" applyAlignment="1">
      <alignment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4" fontId="3" fillId="36" borderId="10" xfId="42" applyNumberFormat="1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0" fontId="2" fillId="36" borderId="0" xfId="0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6" borderId="0" xfId="42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0" borderId="11" xfId="0" applyFont="1" applyBorder="1" applyAlignment="1">
      <alignment wrapText="1"/>
    </xf>
    <xf numFmtId="171" fontId="3" fillId="0" borderId="10" xfId="42" applyFont="1" applyBorder="1" applyAlignment="1">
      <alignment wrapText="1"/>
    </xf>
    <xf numFmtId="0" fontId="3" fillId="36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right" wrapText="1"/>
    </xf>
    <xf numFmtId="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3" fillId="36" borderId="10" xfId="42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1" fontId="3" fillId="36" borderId="10" xfId="42" applyFont="1" applyFill="1" applyBorder="1" applyAlignment="1">
      <alignment wrapText="1"/>
    </xf>
    <xf numFmtId="171" fontId="3" fillId="0" borderId="10" xfId="42" applyFont="1" applyBorder="1" applyAlignment="1">
      <alignment/>
    </xf>
    <xf numFmtId="171" fontId="3" fillId="0" borderId="11" xfId="42" applyFont="1" applyBorder="1" applyAlignment="1">
      <alignment/>
    </xf>
    <xf numFmtId="171" fontId="2" fillId="36" borderId="10" xfId="42" applyFont="1" applyFill="1" applyBorder="1" applyAlignment="1">
      <alignment wrapText="1"/>
    </xf>
    <xf numFmtId="1" fontId="3" fillId="36" borderId="1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171" fontId="3" fillId="36" borderId="20" xfId="42" applyFont="1" applyFill="1" applyBorder="1" applyAlignment="1">
      <alignment/>
    </xf>
    <xf numFmtId="171" fontId="3" fillId="0" borderId="20" xfId="42" applyFont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3" fillId="0" borderId="10" xfId="0" applyNumberFormat="1" applyFont="1" applyBorder="1" applyAlignment="1">
      <alignment/>
    </xf>
    <xf numFmtId="43" fontId="2" fillId="36" borderId="10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1" fillId="42" borderId="20" xfId="0" applyFont="1" applyFill="1" applyBorder="1" applyAlignment="1">
      <alignment/>
    </xf>
    <xf numFmtId="43" fontId="1" fillId="42" borderId="31" xfId="0" applyNumberFormat="1" applyFont="1" applyFill="1" applyBorder="1" applyAlignment="1">
      <alignment/>
    </xf>
    <xf numFmtId="171" fontId="1" fillId="42" borderId="31" xfId="0" applyNumberFormat="1" applyFont="1" applyFill="1" applyBorder="1" applyAlignment="1">
      <alignment/>
    </xf>
    <xf numFmtId="171" fontId="1" fillId="42" borderId="19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43" fontId="3" fillId="43" borderId="10" xfId="0" applyNumberFormat="1" applyFont="1" applyFill="1" applyBorder="1" applyAlignment="1">
      <alignment/>
    </xf>
    <xf numFmtId="171" fontId="1" fillId="43" borderId="10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43" fontId="1" fillId="41" borderId="0" xfId="0" applyNumberFormat="1" applyFont="1" applyFill="1" applyBorder="1" applyAlignment="1">
      <alignment/>
    </xf>
    <xf numFmtId="171" fontId="1" fillId="41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71" fontId="1" fillId="36" borderId="10" xfId="42" applyFont="1" applyFill="1" applyBorder="1" applyAlignment="1">
      <alignment/>
    </xf>
    <xf numFmtId="171" fontId="1" fillId="0" borderId="10" xfId="42" applyFont="1" applyBorder="1" applyAlignment="1">
      <alignment/>
    </xf>
    <xf numFmtId="4" fontId="1" fillId="42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 horizontal="right"/>
    </xf>
    <xf numFmtId="43" fontId="2" fillId="0" borderId="0" xfId="0" applyNumberFormat="1" applyFont="1" applyAlignment="1">
      <alignment/>
    </xf>
    <xf numFmtId="171" fontId="2" fillId="0" borderId="0" xfId="42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4" fontId="5" fillId="36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44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42" borderId="10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171" fontId="3" fillId="34" borderId="20" xfId="42" applyFont="1" applyFill="1" applyBorder="1" applyAlignment="1">
      <alignment/>
    </xf>
    <xf numFmtId="171" fontId="3" fillId="34" borderId="20" xfId="42" applyFont="1" applyFill="1" applyBorder="1" applyAlignment="1">
      <alignment/>
    </xf>
    <xf numFmtId="171" fontId="2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71" fontId="2" fillId="36" borderId="20" xfId="42" applyFont="1" applyFill="1" applyBorder="1" applyAlignment="1">
      <alignment/>
    </xf>
    <xf numFmtId="171" fontId="3" fillId="36" borderId="20" xfId="42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0" fontId="0" fillId="37" borderId="0" xfId="0" applyFill="1" applyAlignment="1">
      <alignment/>
    </xf>
    <xf numFmtId="4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7" borderId="0" xfId="0" applyFont="1" applyFill="1" applyAlignment="1">
      <alignment/>
    </xf>
    <xf numFmtId="4" fontId="5" fillId="46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48" borderId="0" xfId="0" applyFill="1" applyAlignment="1">
      <alignment/>
    </xf>
    <xf numFmtId="0" fontId="1" fillId="48" borderId="0" xfId="0" applyFont="1" applyFill="1" applyBorder="1" applyAlignment="1">
      <alignment/>
    </xf>
    <xf numFmtId="43" fontId="1" fillId="48" borderId="0" xfId="0" applyNumberFormat="1" applyFont="1" applyFill="1" applyBorder="1" applyAlignment="1">
      <alignment/>
    </xf>
    <xf numFmtId="171" fontId="1" fillId="48" borderId="0" xfId="0" applyNumberFormat="1" applyFont="1" applyFill="1" applyBorder="1" applyAlignment="1">
      <alignment/>
    </xf>
    <xf numFmtId="171" fontId="3" fillId="49" borderId="0" xfId="42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4" fontId="3" fillId="48" borderId="10" xfId="0" applyNumberFormat="1" applyFont="1" applyFill="1" applyBorder="1" applyAlignment="1">
      <alignment/>
    </xf>
    <xf numFmtId="4" fontId="3" fillId="48" borderId="10" xfId="42" applyNumberFormat="1" applyFont="1" applyFill="1" applyBorder="1" applyAlignment="1">
      <alignment wrapText="1"/>
    </xf>
    <xf numFmtId="171" fontId="2" fillId="48" borderId="10" xfId="42" applyFont="1" applyFill="1" applyBorder="1" applyAlignment="1">
      <alignment/>
    </xf>
    <xf numFmtId="171" fontId="2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2" fillId="48" borderId="10" xfId="42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3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2" fillId="48" borderId="0" xfId="0" applyFont="1" applyFill="1" applyAlignment="1">
      <alignment/>
    </xf>
    <xf numFmtId="0" fontId="3" fillId="48" borderId="10" xfId="0" applyFont="1" applyFill="1" applyBorder="1" applyAlignment="1">
      <alignment horizontal="center"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11" xfId="42" applyFont="1" applyFill="1" applyBorder="1" applyAlignment="1">
      <alignment/>
    </xf>
    <xf numFmtId="171" fontId="2" fillId="48" borderId="11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1" fillId="48" borderId="10" xfId="42" applyFont="1" applyFill="1" applyBorder="1" applyAlignment="1">
      <alignment/>
    </xf>
    <xf numFmtId="0" fontId="0" fillId="46" borderId="0" xfId="0" applyFont="1" applyFill="1" applyAlignment="1">
      <alignment/>
    </xf>
    <xf numFmtId="171" fontId="2" fillId="48" borderId="10" xfId="42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4" fontId="3" fillId="10" borderId="10" xfId="0" applyNumberFormat="1" applyFont="1" applyFill="1" applyBorder="1" applyAlignment="1">
      <alignment/>
    </xf>
    <xf numFmtId="171" fontId="2" fillId="10" borderId="10" xfId="42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0" borderId="10" xfId="42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43" fontId="2" fillId="36" borderId="0" xfId="0" applyNumberFormat="1" applyFont="1" applyFill="1" applyBorder="1" applyAlignment="1">
      <alignment/>
    </xf>
    <xf numFmtId="0" fontId="0" fillId="46" borderId="15" xfId="0" applyFont="1" applyFill="1" applyBorder="1" applyAlignment="1">
      <alignment/>
    </xf>
    <xf numFmtId="4" fontId="0" fillId="46" borderId="23" xfId="0" applyNumberFormat="1" applyFill="1" applyBorder="1" applyAlignment="1">
      <alignment/>
    </xf>
    <xf numFmtId="171" fontId="3" fillId="2" borderId="10" xfId="42" applyFont="1" applyFill="1" applyBorder="1" applyAlignment="1">
      <alignment/>
    </xf>
    <xf numFmtId="171" fontId="3" fillId="2" borderId="10" xfId="42" applyFont="1" applyFill="1" applyBorder="1" applyAlignment="1">
      <alignment/>
    </xf>
    <xf numFmtId="0" fontId="3" fillId="49" borderId="10" xfId="0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3" fillId="49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4" fontId="2" fillId="49" borderId="10" xfId="0" applyNumberFormat="1" applyFont="1" applyFill="1" applyBorder="1" applyAlignment="1">
      <alignment/>
    </xf>
    <xf numFmtId="171" fontId="3" fillId="10" borderId="0" xfId="42" applyFont="1" applyFill="1" applyBorder="1" applyAlignment="1">
      <alignment wrapText="1"/>
    </xf>
    <xf numFmtId="4" fontId="3" fillId="10" borderId="0" xfId="0" applyNumberFormat="1" applyFont="1" applyFill="1" applyBorder="1" applyAlignment="1">
      <alignment/>
    </xf>
    <xf numFmtId="171" fontId="3" fillId="4" borderId="0" xfId="0" applyNumberFormat="1" applyFont="1" applyFill="1" applyBorder="1" applyAlignment="1">
      <alignment/>
    </xf>
    <xf numFmtId="4" fontId="2" fillId="4" borderId="0" xfId="0" applyNumberFormat="1" applyFont="1" applyFill="1" applyAlignment="1">
      <alignment/>
    </xf>
    <xf numFmtId="0" fontId="0" fillId="0" borderId="18" xfId="0" applyFont="1" applyBorder="1" applyAlignment="1">
      <alignment/>
    </xf>
    <xf numFmtId="171" fontId="2" fillId="7" borderId="10" xfId="42" applyFont="1" applyFill="1" applyBorder="1" applyAlignment="1">
      <alignment/>
    </xf>
    <xf numFmtId="171" fontId="2" fillId="7" borderId="10" xfId="42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171" fontId="3" fillId="4" borderId="10" xfId="42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20" xfId="42" applyFont="1" applyFill="1" applyBorder="1" applyAlignment="1">
      <alignment/>
    </xf>
    <xf numFmtId="171" fontId="3" fillId="4" borderId="10" xfId="42" applyFont="1" applyFill="1" applyBorder="1" applyAlignment="1">
      <alignment/>
    </xf>
    <xf numFmtId="171" fontId="3" fillId="4" borderId="20" xfId="42" applyFont="1" applyFill="1" applyBorder="1" applyAlignment="1">
      <alignment/>
    </xf>
    <xf numFmtId="171" fontId="2" fillId="4" borderId="10" xfId="42" applyFont="1" applyFill="1" applyBorder="1" applyAlignment="1">
      <alignment wrapText="1"/>
    </xf>
    <xf numFmtId="171" fontId="2" fillId="4" borderId="10" xfId="42" applyFont="1" applyFill="1" applyBorder="1" applyAlignment="1">
      <alignment/>
    </xf>
    <xf numFmtId="4" fontId="2" fillId="5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0" fontId="2" fillId="11" borderId="0" xfId="0" applyFont="1" applyFill="1" applyAlignment="1">
      <alignment/>
    </xf>
    <xf numFmtId="4" fontId="2" fillId="11" borderId="0" xfId="0" applyNumberFormat="1" applyFont="1" applyFill="1" applyAlignment="1">
      <alignment/>
    </xf>
    <xf numFmtId="43" fontId="2" fillId="11" borderId="0" xfId="0" applyNumberFormat="1" applyFont="1" applyFill="1" applyAlignment="1">
      <alignment/>
    </xf>
    <xf numFmtId="4" fontId="0" fillId="8" borderId="10" xfId="0" applyNumberFormat="1" applyFill="1" applyBorder="1" applyAlignment="1">
      <alignment/>
    </xf>
    <xf numFmtId="0" fontId="41" fillId="0" borderId="10" xfId="0" applyFont="1" applyBorder="1" applyAlignment="1">
      <alignment/>
    </xf>
    <xf numFmtId="43" fontId="41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0" xfId="0" applyNumberFormat="1" applyFont="1" applyFill="1" applyBorder="1" applyAlignment="1">
      <alignment/>
    </xf>
    <xf numFmtId="4" fontId="0" fillId="8" borderId="0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171" fontId="3" fillId="0" borderId="0" xfId="42" applyFont="1" applyBorder="1" applyAlignment="1">
      <alignment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1" fillId="42" borderId="0" xfId="0" applyNumberFormat="1" applyFont="1" applyFill="1" applyBorder="1" applyAlignment="1">
      <alignment/>
    </xf>
    <xf numFmtId="171" fontId="1" fillId="43" borderId="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1" fillId="42" borderId="0" xfId="0" applyNumberFormat="1" applyFont="1" applyFill="1" applyBorder="1" applyAlignment="1">
      <alignment/>
    </xf>
    <xf numFmtId="171" fontId="3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3" fillId="48" borderId="0" xfId="42" applyFont="1" applyFill="1" applyBorder="1" applyAlignment="1">
      <alignment wrapText="1"/>
    </xf>
    <xf numFmtId="4" fontId="3" fillId="48" borderId="0" xfId="42" applyNumberFormat="1" applyFont="1" applyFill="1" applyBorder="1" applyAlignment="1">
      <alignment wrapText="1"/>
    </xf>
    <xf numFmtId="171" fontId="3" fillId="48" borderId="0" xfId="42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34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10" borderId="0" xfId="42" applyFont="1" applyFill="1" applyBorder="1" applyAlignment="1">
      <alignment/>
    </xf>
    <xf numFmtId="171" fontId="2" fillId="0" borderId="30" xfId="42" applyFont="1" applyBorder="1" applyAlignment="1">
      <alignment/>
    </xf>
    <xf numFmtId="171" fontId="3" fillId="0" borderId="30" xfId="42" applyFont="1" applyBorder="1" applyAlignment="1">
      <alignment/>
    </xf>
    <xf numFmtId="43" fontId="41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4" fontId="2" fillId="46" borderId="23" xfId="0" applyNumberFormat="1" applyFont="1" applyFill="1" applyBorder="1" applyAlignment="1">
      <alignment/>
    </xf>
    <xf numFmtId="4" fontId="2" fillId="46" borderId="32" xfId="0" applyNumberFormat="1" applyFont="1" applyFill="1" applyBorder="1" applyAlignment="1">
      <alignment/>
    </xf>
    <xf numFmtId="4" fontId="2" fillId="46" borderId="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4" fontId="2" fillId="8" borderId="33" xfId="0" applyNumberFormat="1" applyFont="1" applyFill="1" applyBorder="1" applyAlignment="1">
      <alignment/>
    </xf>
    <xf numFmtId="4" fontId="2" fillId="8" borderId="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2" fillId="8" borderId="0" xfId="0" applyNumberFormat="1" applyFont="1" applyFill="1" applyAlignment="1">
      <alignment/>
    </xf>
    <xf numFmtId="0" fontId="2" fillId="0" borderId="16" xfId="0" applyFont="1" applyBorder="1" applyAlignment="1">
      <alignment/>
    </xf>
    <xf numFmtId="4" fontId="2" fillId="0" borderId="25" xfId="0" applyNumberFormat="1" applyFont="1" applyBorder="1" applyAlignment="1">
      <alignment/>
    </xf>
    <xf numFmtId="171" fontId="3" fillId="48" borderId="34" xfId="0" applyNumberFormat="1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4" fontId="3" fillId="48" borderId="0" xfId="0" applyNumberFormat="1" applyFont="1" applyFill="1" applyBorder="1" applyAlignment="1">
      <alignment/>
    </xf>
    <xf numFmtId="0" fontId="3" fillId="10" borderId="10" xfId="0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3" fontId="3" fillId="48" borderId="0" xfId="0" applyNumberFormat="1" applyFont="1" applyFill="1" applyBorder="1" applyAlignment="1">
      <alignment/>
    </xf>
    <xf numFmtId="172" fontId="3" fillId="8" borderId="0" xfId="0" applyNumberFormat="1" applyFont="1" applyFill="1" applyBorder="1" applyAlignment="1">
      <alignment/>
    </xf>
    <xf numFmtId="0" fontId="2" fillId="46" borderId="0" xfId="0" applyFont="1" applyFill="1" applyAlignment="1">
      <alignment/>
    </xf>
    <xf numFmtId="171" fontId="3" fillId="49" borderId="10" xfId="42" applyFont="1" applyFill="1" applyBorder="1" applyAlignment="1">
      <alignment wrapText="1"/>
    </xf>
    <xf numFmtId="171" fontId="3" fillId="49" borderId="2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2" fillId="49" borderId="1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3" fillId="49" borderId="10" xfId="42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171" fontId="3" fillId="8" borderId="10" xfId="42" applyFont="1" applyFill="1" applyBorder="1" applyAlignment="1">
      <alignment wrapText="1"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2" fillId="48" borderId="10" xfId="42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0" fillId="48" borderId="0" xfId="0" applyFont="1" applyFill="1" applyAlignment="1">
      <alignment/>
    </xf>
    <xf numFmtId="0" fontId="0" fillId="50" borderId="0" xfId="0" applyFill="1" applyAlignment="1">
      <alignment/>
    </xf>
    <xf numFmtId="4" fontId="1" fillId="50" borderId="0" xfId="0" applyNumberFormat="1" applyFont="1" applyFill="1" applyBorder="1" applyAlignment="1">
      <alignment/>
    </xf>
    <xf numFmtId="4" fontId="3" fillId="50" borderId="0" xfId="0" applyNumberFormat="1" applyFon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71" fontId="3" fillId="2" borderId="10" xfId="42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171" fontId="3" fillId="2" borderId="2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2" fillId="2" borderId="1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4" fontId="2" fillId="48" borderId="10" xfId="42" applyNumberFormat="1" applyFont="1" applyFill="1" applyBorder="1" applyAlignment="1">
      <alignment/>
    </xf>
    <xf numFmtId="0" fontId="2" fillId="48" borderId="0" xfId="0" applyFont="1" applyFill="1" applyBorder="1" applyAlignment="1">
      <alignment/>
    </xf>
    <xf numFmtId="0" fontId="2" fillId="48" borderId="10" xfId="0" applyFont="1" applyFill="1" applyBorder="1" applyAlignment="1">
      <alignment wrapText="1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48" borderId="11" xfId="0" applyFont="1" applyFill="1" applyBorder="1" applyAlignment="1">
      <alignment horizontal="right" wrapText="1"/>
    </xf>
    <xf numFmtId="0" fontId="3" fillId="48" borderId="11" xfId="0" applyFont="1" applyFill="1" applyBorder="1" applyAlignment="1">
      <alignment horizontal="left" wrapText="1"/>
    </xf>
    <xf numFmtId="0" fontId="2" fillId="48" borderId="11" xfId="0" applyFont="1" applyFill="1" applyBorder="1" applyAlignment="1">
      <alignment/>
    </xf>
    <xf numFmtId="1" fontId="2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0" fontId="3" fillId="48" borderId="11" xfId="0" applyFont="1" applyFill="1" applyBorder="1" applyAlignment="1">
      <alignment horizontal="left" wrapText="1"/>
    </xf>
    <xf numFmtId="0" fontId="2" fillId="48" borderId="0" xfId="0" applyFont="1" applyFill="1" applyAlignment="1">
      <alignment/>
    </xf>
    <xf numFmtId="4" fontId="2" fillId="48" borderId="0" xfId="0" applyNumberFormat="1" applyFont="1" applyFill="1" applyAlignment="1">
      <alignment/>
    </xf>
    <xf numFmtId="4" fontId="3" fillId="48" borderId="10" xfId="0" applyNumberFormat="1" applyFont="1" applyFill="1" applyBorder="1" applyAlignment="1">
      <alignment wrapText="1"/>
    </xf>
    <xf numFmtId="0" fontId="2" fillId="48" borderId="0" xfId="0" applyFont="1" applyFill="1" applyBorder="1" applyAlignment="1">
      <alignment/>
    </xf>
    <xf numFmtId="0" fontId="2" fillId="48" borderId="10" xfId="0" applyFont="1" applyFill="1" applyBorder="1" applyAlignment="1">
      <alignment wrapText="1"/>
    </xf>
    <xf numFmtId="4" fontId="2" fillId="48" borderId="20" xfId="42" applyNumberFormat="1" applyFont="1" applyFill="1" applyBorder="1" applyAlignment="1">
      <alignment/>
    </xf>
    <xf numFmtId="4" fontId="3" fillId="48" borderId="10" xfId="0" applyNumberFormat="1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3" fillId="48" borderId="10" xfId="0" applyFont="1" applyFill="1" applyBorder="1" applyAlignment="1">
      <alignment horizontal="center" wrapText="1"/>
    </xf>
    <xf numFmtId="0" fontId="2" fillId="48" borderId="0" xfId="0" applyFont="1" applyFill="1" applyBorder="1" applyAlignment="1">
      <alignment wrapText="1"/>
    </xf>
    <xf numFmtId="4" fontId="2" fillId="48" borderId="0" xfId="0" applyNumberFormat="1" applyFont="1" applyFill="1" applyBorder="1" applyAlignment="1">
      <alignment/>
    </xf>
    <xf numFmtId="4" fontId="2" fillId="48" borderId="10" xfId="42" applyNumberFormat="1" applyFont="1" applyFill="1" applyBorder="1" applyAlignment="1">
      <alignment wrapText="1"/>
    </xf>
    <xf numFmtId="4" fontId="2" fillId="48" borderId="10" xfId="0" applyNumberFormat="1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2" fillId="48" borderId="0" xfId="0" applyFont="1" applyFill="1" applyAlignment="1">
      <alignment/>
    </xf>
    <xf numFmtId="4" fontId="3" fillId="48" borderId="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36" borderId="20" xfId="42" applyFont="1" applyFill="1" applyBorder="1" applyAlignment="1">
      <alignment/>
    </xf>
    <xf numFmtId="171" fontId="2" fillId="36" borderId="19" xfId="42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48" borderId="10" xfId="0" applyFont="1" applyFill="1" applyBorder="1" applyAlignment="1">
      <alignment wrapText="1"/>
    </xf>
    <xf numFmtId="0" fontId="2" fillId="36" borderId="20" xfId="0" applyFont="1" applyFill="1" applyBorder="1" applyAlignment="1">
      <alignment/>
    </xf>
    <xf numFmtId="171" fontId="3" fillId="36" borderId="20" xfId="42" applyFont="1" applyFill="1" applyBorder="1" applyAlignment="1">
      <alignment/>
    </xf>
    <xf numFmtId="171" fontId="3" fillId="36" borderId="19" xfId="42" applyFont="1" applyFill="1" applyBorder="1" applyAlignment="1">
      <alignment/>
    </xf>
    <xf numFmtId="171" fontId="2" fillId="36" borderId="10" xfId="42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48" borderId="20" xfId="0" applyFont="1" applyFill="1" applyBorder="1" applyAlignment="1">
      <alignment horizontal="center"/>
    </xf>
    <xf numFmtId="0" fontId="3" fillId="48" borderId="31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7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8">
        <f aca="true" t="shared" si="7" ref="D166:I166">D557-D155</f>
        <v>15545285.779999986</v>
      </c>
      <c r="E166" s="388">
        <f t="shared" si="7"/>
        <v>6466221.519999996</v>
      </c>
      <c r="F166" s="388">
        <f t="shared" si="7"/>
        <v>68319.99999999977</v>
      </c>
      <c r="G166" s="388">
        <f t="shared" si="7"/>
        <v>9288610.32</v>
      </c>
      <c r="H166" s="388">
        <f t="shared" si="7"/>
        <v>-85656.73000000001</v>
      </c>
      <c r="I166" s="388">
        <f t="shared" si="7"/>
        <v>-192209.32999999984</v>
      </c>
      <c r="J166" s="389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90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90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90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90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90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90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90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90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90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91" t="s">
        <v>170</v>
      </c>
      <c r="G219" s="124"/>
      <c r="H219" s="124"/>
      <c r="I219" s="124"/>
      <c r="J219" s="392"/>
      <c r="K219" s="392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91" t="s">
        <v>170</v>
      </c>
      <c r="G263" s="124"/>
      <c r="H263" s="124"/>
      <c r="I263" s="124"/>
      <c r="J263" s="392"/>
      <c r="K263" s="392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93">
        <v>4263</v>
      </c>
      <c r="B272" s="135"/>
      <c r="C272" s="393" t="s">
        <v>115</v>
      </c>
      <c r="D272" s="378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94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91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94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92"/>
      <c r="K498" s="392"/>
    </row>
    <row r="499" spans="1:11" ht="12.75">
      <c r="A499" s="395">
        <v>512111</v>
      </c>
      <c r="B499" s="395"/>
      <c r="C499" s="396" t="s">
        <v>124</v>
      </c>
      <c r="D499" s="100">
        <v>1376602.5</v>
      </c>
      <c r="E499" s="397">
        <v>1400000</v>
      </c>
      <c r="F499" s="138"/>
      <c r="G499" s="145"/>
      <c r="H499" s="398"/>
      <c r="I499" s="398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8"/>
      <c r="I500" s="398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7" t="s">
        <v>205</v>
      </c>
      <c r="D559" s="194">
        <f>D560+D561</f>
        <v>5087554.279999999</v>
      </c>
      <c r="E559" s="194"/>
      <c r="F559" s="194"/>
      <c r="G559" s="194"/>
      <c r="H559" s="194"/>
      <c r="I559" s="378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9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80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81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82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82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83" t="s">
        <v>4</v>
      </c>
      <c r="F572" s="152" t="s">
        <v>197</v>
      </c>
      <c r="G572" s="384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85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85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85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85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85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85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85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85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85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86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84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35"/>
      <c r="B1" s="235"/>
      <c r="C1" s="235"/>
      <c r="D1" s="236" t="s">
        <v>296</v>
      </c>
      <c r="E1" s="236"/>
      <c r="F1" s="236"/>
      <c r="G1" s="236"/>
      <c r="H1" s="235"/>
      <c r="I1" s="235"/>
      <c r="J1" s="237"/>
    </row>
    <row r="2" spans="1:11" ht="12.75">
      <c r="A2" s="238" t="s">
        <v>225</v>
      </c>
      <c r="B2" s="238"/>
      <c r="C2" s="238"/>
      <c r="D2" s="238"/>
      <c r="E2" s="238"/>
      <c r="F2" s="235"/>
      <c r="G2" s="235"/>
      <c r="H2" s="235"/>
      <c r="I2" s="235"/>
      <c r="J2" s="238" t="s">
        <v>223</v>
      </c>
      <c r="K2" s="27" t="s">
        <v>171</v>
      </c>
    </row>
    <row r="3" spans="1:11" ht="33.75">
      <c r="A3" s="239" t="s">
        <v>0</v>
      </c>
      <c r="B3" s="239" t="s">
        <v>208</v>
      </c>
      <c r="C3" s="239" t="s">
        <v>1</v>
      </c>
      <c r="D3" s="239" t="s">
        <v>2</v>
      </c>
      <c r="E3" s="239" t="s">
        <v>3</v>
      </c>
      <c r="F3" s="240" t="s">
        <v>4</v>
      </c>
      <c r="G3" s="239" t="s">
        <v>5</v>
      </c>
      <c r="H3" s="239" t="s">
        <v>6</v>
      </c>
      <c r="I3" s="239" t="s">
        <v>7</v>
      </c>
      <c r="J3" s="239" t="s">
        <v>175</v>
      </c>
      <c r="K3" s="112" t="s">
        <v>170</v>
      </c>
    </row>
    <row r="4" spans="1:11" ht="12.75">
      <c r="A4" s="241">
        <v>411111</v>
      </c>
      <c r="B4" s="242"/>
      <c r="C4" s="241" t="s">
        <v>8</v>
      </c>
      <c r="D4" s="243">
        <v>70678290.52</v>
      </c>
      <c r="E4" s="243">
        <v>68087492.37</v>
      </c>
      <c r="F4" s="243"/>
      <c r="G4" s="243">
        <v>2590798.15</v>
      </c>
      <c r="H4" s="243"/>
      <c r="I4" s="243"/>
      <c r="J4" s="242"/>
      <c r="K4" s="83"/>
    </row>
    <row r="5" spans="1:11" ht="12.75">
      <c r="A5" s="244">
        <v>411112</v>
      </c>
      <c r="B5" s="242"/>
      <c r="C5" s="244" t="s">
        <v>93</v>
      </c>
      <c r="D5" s="245">
        <v>701310.26</v>
      </c>
      <c r="E5" s="245">
        <v>701310.26</v>
      </c>
      <c r="F5" s="245"/>
      <c r="G5" s="245"/>
      <c r="H5" s="245"/>
      <c r="I5" s="245"/>
      <c r="J5" s="246"/>
      <c r="K5" s="84"/>
    </row>
    <row r="6" spans="1:11" ht="12.75">
      <c r="A6" s="244">
        <v>411113</v>
      </c>
      <c r="B6" s="242"/>
      <c r="C6" s="244" t="s">
        <v>9</v>
      </c>
      <c r="D6" s="245">
        <v>320610.99</v>
      </c>
      <c r="E6" s="245">
        <v>320610.99</v>
      </c>
      <c r="F6" s="245"/>
      <c r="G6" s="245"/>
      <c r="H6" s="245"/>
      <c r="I6" s="245"/>
      <c r="J6" s="246"/>
      <c r="K6" s="84"/>
    </row>
    <row r="7" spans="1:11" ht="12.75">
      <c r="A7" s="244">
        <v>411114</v>
      </c>
      <c r="B7" s="242"/>
      <c r="C7" s="244" t="s">
        <v>10</v>
      </c>
      <c r="D7" s="245">
        <v>435473.33</v>
      </c>
      <c r="E7" s="245">
        <v>435473.33</v>
      </c>
      <c r="F7" s="245"/>
      <c r="G7" s="245"/>
      <c r="H7" s="245"/>
      <c r="I7" s="245"/>
      <c r="J7" s="246"/>
      <c r="K7" s="84"/>
    </row>
    <row r="8" spans="1:11" ht="12.75">
      <c r="A8" s="244">
        <v>411115</v>
      </c>
      <c r="B8" s="242"/>
      <c r="C8" s="244" t="s">
        <v>11</v>
      </c>
      <c r="D8" s="245">
        <v>4736398.51</v>
      </c>
      <c r="E8" s="245">
        <v>4736398.51</v>
      </c>
      <c r="F8" s="245"/>
      <c r="G8" s="245"/>
      <c r="H8" s="245"/>
      <c r="I8" s="245"/>
      <c r="J8" s="246"/>
      <c r="K8" s="84"/>
    </row>
    <row r="9" spans="1:11" ht="12.75">
      <c r="A9" s="244">
        <v>411117</v>
      </c>
      <c r="B9" s="242"/>
      <c r="C9" s="244" t="s">
        <v>12</v>
      </c>
      <c r="D9" s="245">
        <v>1012899.65</v>
      </c>
      <c r="E9" s="245">
        <v>1012899.65</v>
      </c>
      <c r="F9" s="245"/>
      <c r="G9" s="245"/>
      <c r="H9" s="245"/>
      <c r="I9" s="245"/>
      <c r="J9" s="246"/>
      <c r="K9" s="84"/>
    </row>
    <row r="10" spans="1:11" ht="12.75">
      <c r="A10" s="247">
        <v>4111</v>
      </c>
      <c r="B10" s="242"/>
      <c r="C10" s="247" t="s">
        <v>92</v>
      </c>
      <c r="D10" s="248">
        <f>SUM(D4:D9)</f>
        <v>77884983.26</v>
      </c>
      <c r="E10" s="248">
        <f>SUM(E4:E9)</f>
        <v>75294185.11000001</v>
      </c>
      <c r="F10" s="248"/>
      <c r="G10" s="248">
        <f>SUM(G4:G9)</f>
        <v>2590798.15</v>
      </c>
      <c r="H10" s="248"/>
      <c r="I10" s="248"/>
      <c r="J10" s="249"/>
      <c r="K10" s="90"/>
    </row>
    <row r="11" spans="1:11" ht="12.75">
      <c r="A11" s="244">
        <v>412111</v>
      </c>
      <c r="B11" s="242"/>
      <c r="C11" s="244" t="s">
        <v>13</v>
      </c>
      <c r="D11" s="245">
        <v>8589604.95</v>
      </c>
      <c r="E11" s="245">
        <v>8303046.17</v>
      </c>
      <c r="F11" s="245"/>
      <c r="G11" s="245">
        <v>286558.78</v>
      </c>
      <c r="H11" s="245"/>
      <c r="I11" s="245"/>
      <c r="J11" s="246"/>
      <c r="K11" s="84"/>
    </row>
    <row r="12" spans="1:11" ht="12.75">
      <c r="A12" s="244">
        <v>412113</v>
      </c>
      <c r="B12" s="242"/>
      <c r="C12" s="244" t="s">
        <v>129</v>
      </c>
      <c r="D12" s="245">
        <v>416742.75</v>
      </c>
      <c r="E12" s="245"/>
      <c r="F12" s="245"/>
      <c r="G12" s="245">
        <v>416742.75</v>
      </c>
      <c r="H12" s="245"/>
      <c r="I12" s="245"/>
      <c r="J12" s="246"/>
      <c r="K12" s="84"/>
    </row>
    <row r="13" spans="1:11" ht="12.75">
      <c r="A13" s="247">
        <v>4121</v>
      </c>
      <c r="B13" s="242"/>
      <c r="C13" s="247" t="s">
        <v>94</v>
      </c>
      <c r="D13" s="248">
        <f>SUM(D11:D12)</f>
        <v>9006347.7</v>
      </c>
      <c r="E13" s="248">
        <f>SUM(E11:E12)</f>
        <v>8303046.17</v>
      </c>
      <c r="F13" s="248"/>
      <c r="G13" s="248">
        <f>SUM(G11:G12)</f>
        <v>703301.53</v>
      </c>
      <c r="H13" s="248"/>
      <c r="I13" s="248"/>
      <c r="J13" s="246"/>
      <c r="K13" s="84"/>
    </row>
    <row r="14" spans="1:11" ht="12.75">
      <c r="A14" s="244">
        <v>412211</v>
      </c>
      <c r="B14" s="242"/>
      <c r="C14" s="244" t="s">
        <v>14</v>
      </c>
      <c r="D14" s="245">
        <v>4802370.03</v>
      </c>
      <c r="E14" s="245">
        <v>4642157.63</v>
      </c>
      <c r="F14" s="245"/>
      <c r="G14" s="245">
        <v>160212.4</v>
      </c>
      <c r="H14" s="245"/>
      <c r="I14" s="245"/>
      <c r="J14" s="246"/>
      <c r="K14" s="84"/>
    </row>
    <row r="15" spans="1:11" ht="12.75">
      <c r="A15" s="247">
        <v>4122</v>
      </c>
      <c r="B15" s="242"/>
      <c r="C15" s="247" t="s">
        <v>14</v>
      </c>
      <c r="D15" s="248">
        <f>SUM(D14)</f>
        <v>4802370.03</v>
      </c>
      <c r="E15" s="248">
        <f>SUM(E14)</f>
        <v>4642157.63</v>
      </c>
      <c r="F15" s="248"/>
      <c r="G15" s="248">
        <f>SUM(G14)</f>
        <v>160212.4</v>
      </c>
      <c r="H15" s="248"/>
      <c r="I15" s="248"/>
      <c r="J15" s="246"/>
      <c r="K15" s="84"/>
    </row>
    <row r="16" spans="1:11" ht="12.75">
      <c r="A16" s="244">
        <v>412311</v>
      </c>
      <c r="B16" s="242"/>
      <c r="C16" s="244" t="s">
        <v>95</v>
      </c>
      <c r="D16" s="245">
        <v>585654.88</v>
      </c>
      <c r="E16" s="245">
        <v>566116.77</v>
      </c>
      <c r="F16" s="245"/>
      <c r="G16" s="245">
        <v>19538.11</v>
      </c>
      <c r="H16" s="245"/>
      <c r="I16" s="245"/>
      <c r="J16" s="246"/>
      <c r="K16" s="84"/>
    </row>
    <row r="17" spans="1:11" ht="12.75">
      <c r="A17" s="247">
        <v>4123</v>
      </c>
      <c r="B17" s="242"/>
      <c r="C17" s="247" t="s">
        <v>96</v>
      </c>
      <c r="D17" s="248">
        <f>SUM(D16)</f>
        <v>585654.88</v>
      </c>
      <c r="E17" s="248">
        <f>SUM(E16)</f>
        <v>566116.77</v>
      </c>
      <c r="F17" s="248"/>
      <c r="G17" s="248">
        <f>SUM(G16)</f>
        <v>19538.11</v>
      </c>
      <c r="H17" s="248"/>
      <c r="I17" s="248"/>
      <c r="J17" s="246"/>
      <c r="K17" s="84"/>
    </row>
    <row r="18" spans="1:11" s="97" customFormat="1" ht="12.75">
      <c r="A18" s="247"/>
      <c r="B18" s="250">
        <f>D18*100/107362902.49</f>
        <v>85.9508766341289</v>
      </c>
      <c r="C18" s="247" t="s">
        <v>174</v>
      </c>
      <c r="D18" s="248">
        <f aca="true" t="shared" si="0" ref="D18:I18">D17+D15+D13+D10</f>
        <v>92279355.87</v>
      </c>
      <c r="E18" s="248">
        <f t="shared" si="0"/>
        <v>88805505.68</v>
      </c>
      <c r="F18" s="248">
        <f t="shared" si="0"/>
        <v>0</v>
      </c>
      <c r="G18" s="248">
        <f t="shared" si="0"/>
        <v>3473850.19</v>
      </c>
      <c r="H18" s="248">
        <f t="shared" si="0"/>
        <v>0</v>
      </c>
      <c r="I18" s="248">
        <f t="shared" si="0"/>
        <v>0</v>
      </c>
      <c r="J18" s="249">
        <v>220216425</v>
      </c>
      <c r="K18" s="106">
        <f>D18*100/J18</f>
        <v>41.90393875933641</v>
      </c>
    </row>
    <row r="19" spans="1:11" ht="12.75">
      <c r="A19" s="244">
        <v>413151</v>
      </c>
      <c r="B19" s="242"/>
      <c r="C19" s="244" t="s">
        <v>15</v>
      </c>
      <c r="D19" s="245">
        <v>34400</v>
      </c>
      <c r="E19" s="245"/>
      <c r="F19" s="245"/>
      <c r="G19" s="245"/>
      <c r="H19" s="245">
        <v>34400</v>
      </c>
      <c r="I19" s="245"/>
      <c r="J19" s="246"/>
      <c r="K19" s="101"/>
    </row>
    <row r="20" spans="1:11" ht="12.75">
      <c r="A20" s="244">
        <v>415112</v>
      </c>
      <c r="B20" s="242"/>
      <c r="C20" s="244" t="s">
        <v>21</v>
      </c>
      <c r="D20" s="245">
        <v>1943711.77</v>
      </c>
      <c r="E20" s="245">
        <v>1788736.09</v>
      </c>
      <c r="F20" s="245"/>
      <c r="G20" s="245">
        <v>154975.68</v>
      </c>
      <c r="H20" s="245"/>
      <c r="I20" s="245"/>
      <c r="J20" s="246"/>
      <c r="K20" s="101"/>
    </row>
    <row r="21" spans="1:11" s="97" customFormat="1" ht="12.75">
      <c r="A21" s="247">
        <v>4131</v>
      </c>
      <c r="B21" s="250">
        <f>D21*100/107362902.49</f>
        <v>1.8424537006013277</v>
      </c>
      <c r="C21" s="247" t="s">
        <v>295</v>
      </c>
      <c r="D21" s="248">
        <f>SUM(D19:D20)</f>
        <v>1978111.77</v>
      </c>
      <c r="E21" s="248">
        <f aca="true" t="shared" si="1" ref="E21:K21">SUM(E19:E20)</f>
        <v>1788736.09</v>
      </c>
      <c r="F21" s="248">
        <f t="shared" si="1"/>
        <v>0</v>
      </c>
      <c r="G21" s="248">
        <f t="shared" si="1"/>
        <v>154975.68</v>
      </c>
      <c r="H21" s="248">
        <f t="shared" si="1"/>
        <v>34400</v>
      </c>
      <c r="I21" s="248">
        <f t="shared" si="1"/>
        <v>0</v>
      </c>
      <c r="J21" s="248">
        <v>4362300</v>
      </c>
      <c r="K21" s="138">
        <f t="shared" si="1"/>
        <v>0</v>
      </c>
    </row>
    <row r="22" spans="1:11" ht="12.75">
      <c r="A22" s="244">
        <v>414111</v>
      </c>
      <c r="B22" s="242"/>
      <c r="C22" s="244" t="s">
        <v>16</v>
      </c>
      <c r="D22" s="245">
        <v>1287876.63</v>
      </c>
      <c r="E22" s="245"/>
      <c r="F22" s="245"/>
      <c r="G22" s="245"/>
      <c r="H22" s="245"/>
      <c r="I22" s="245">
        <v>1287876.63</v>
      </c>
      <c r="J22" s="246"/>
      <c r="K22" s="101"/>
    </row>
    <row r="23" spans="1:11" ht="12.75">
      <c r="A23" s="244">
        <v>414121</v>
      </c>
      <c r="B23" s="242"/>
      <c r="C23" s="244" t="s">
        <v>17</v>
      </c>
      <c r="D23" s="245">
        <v>147394</v>
      </c>
      <c r="E23" s="245"/>
      <c r="F23" s="245"/>
      <c r="G23" s="245"/>
      <c r="H23" s="245"/>
      <c r="I23" s="245">
        <v>147394</v>
      </c>
      <c r="J23" s="246"/>
      <c r="K23" s="101"/>
    </row>
    <row r="24" spans="1:11" ht="12.75">
      <c r="A24" s="244">
        <v>414131</v>
      </c>
      <c r="B24" s="242"/>
      <c r="C24" s="244" t="s">
        <v>18</v>
      </c>
      <c r="D24" s="245">
        <v>62203.1</v>
      </c>
      <c r="E24" s="245"/>
      <c r="F24" s="245"/>
      <c r="G24" s="245">
        <v>62203.1</v>
      </c>
      <c r="H24" s="245"/>
      <c r="I24" s="245"/>
      <c r="J24" s="246"/>
      <c r="K24" s="101"/>
    </row>
    <row r="25" spans="1:11" s="97" customFormat="1" ht="12.75">
      <c r="A25" s="247">
        <v>4141</v>
      </c>
      <c r="B25" s="250">
        <f>D25*100/107362902.49</f>
        <v>1.3947776143062804</v>
      </c>
      <c r="C25" s="247" t="s">
        <v>98</v>
      </c>
      <c r="D25" s="248">
        <f>SUM(D22:D24)</f>
        <v>1497473.73</v>
      </c>
      <c r="E25" s="248"/>
      <c r="F25" s="248"/>
      <c r="G25" s="248">
        <f>SUM(G22:G24)</f>
        <v>62203.1</v>
      </c>
      <c r="H25" s="248"/>
      <c r="I25" s="248">
        <f>SUM(I22:I24)</f>
        <v>1435270.63</v>
      </c>
      <c r="J25" s="246"/>
      <c r="K25" s="101"/>
    </row>
    <row r="26" spans="1:11" s="97" customFormat="1" ht="12.75">
      <c r="A26" s="247"/>
      <c r="B26" s="250">
        <f>D26*100/107362902.49</f>
        <v>4.663187063582152</v>
      </c>
      <c r="C26" s="247" t="s">
        <v>179</v>
      </c>
      <c r="D26" s="248">
        <f aca="true" t="shared" si="2" ref="D26:I26">D29+D31+D34+D40+D50+D55+D57+D61+D64+D67+D69+D71+D73+D79+D94+D98+D100+D102+D106+D109+D115+D117+D121</f>
        <v>5006532.9799999995</v>
      </c>
      <c r="E26" s="248">
        <f t="shared" si="2"/>
        <v>2113817.94</v>
      </c>
      <c r="F26" s="248">
        <f t="shared" si="2"/>
        <v>1633750.0000000002</v>
      </c>
      <c r="G26" s="248">
        <f t="shared" si="2"/>
        <v>1088071.8199999998</v>
      </c>
      <c r="H26" s="248">
        <f t="shared" si="2"/>
        <v>166370.22000000003</v>
      </c>
      <c r="I26" s="248">
        <f t="shared" si="2"/>
        <v>4523</v>
      </c>
      <c r="J26" s="248">
        <v>15222000</v>
      </c>
      <c r="K26" s="138">
        <f>D26*100/J26</f>
        <v>32.8901128629615</v>
      </c>
    </row>
    <row r="27" spans="1:11" ht="12.75">
      <c r="A27" s="244">
        <v>414311</v>
      </c>
      <c r="B27" s="242"/>
      <c r="C27" s="244" t="s">
        <v>19</v>
      </c>
      <c r="D27" s="245">
        <v>329847</v>
      </c>
      <c r="E27" s="245">
        <v>163848</v>
      </c>
      <c r="F27" s="245"/>
      <c r="G27" s="245">
        <v>165999</v>
      </c>
      <c r="H27" s="245"/>
      <c r="I27" s="245"/>
      <c r="J27" s="246"/>
      <c r="K27" s="135"/>
    </row>
    <row r="28" spans="1:11" ht="12.75">
      <c r="A28" s="244">
        <v>414314</v>
      </c>
      <c r="B28" s="242"/>
      <c r="C28" s="244" t="s">
        <v>20</v>
      </c>
      <c r="D28" s="245">
        <v>136782</v>
      </c>
      <c r="E28" s="245"/>
      <c r="F28" s="245"/>
      <c r="G28" s="245">
        <v>136782</v>
      </c>
      <c r="H28" s="245"/>
      <c r="I28" s="245"/>
      <c r="J28" s="246"/>
      <c r="K28" s="135"/>
    </row>
    <row r="29" spans="1:11" ht="12.75">
      <c r="A29" s="247">
        <v>4143</v>
      </c>
      <c r="B29" s="242">
        <f>D29*100/5006532.98</f>
        <v>9.32040200002837</v>
      </c>
      <c r="C29" s="247" t="s">
        <v>99</v>
      </c>
      <c r="D29" s="248">
        <f>SUM(D27:D28)</f>
        <v>466629</v>
      </c>
      <c r="E29" s="248">
        <f>SUM(E27:E28)</f>
        <v>163848</v>
      </c>
      <c r="F29" s="248"/>
      <c r="G29" s="248">
        <f>SUM(G27:G28)</f>
        <v>302781</v>
      </c>
      <c r="H29" s="248"/>
      <c r="I29" s="248"/>
      <c r="J29" s="246">
        <v>0</v>
      </c>
      <c r="K29" s="135"/>
    </row>
    <row r="30" spans="1:11" ht="12.75">
      <c r="A30" s="244">
        <v>421111</v>
      </c>
      <c r="B30" s="242"/>
      <c r="C30" s="244" t="s">
        <v>22</v>
      </c>
      <c r="D30" s="245">
        <v>329191.55</v>
      </c>
      <c r="E30" s="245">
        <v>278481.54</v>
      </c>
      <c r="F30" s="245"/>
      <c r="G30" s="245">
        <v>41210.21</v>
      </c>
      <c r="H30" s="245">
        <v>4976.8</v>
      </c>
      <c r="I30" s="245">
        <v>4523</v>
      </c>
      <c r="J30" s="246"/>
      <c r="K30" s="135"/>
    </row>
    <row r="31" spans="1:11" ht="12.75">
      <c r="A31" s="247">
        <v>4211</v>
      </c>
      <c r="B31" s="242">
        <f>D31*100/5006532.98</f>
        <v>6.575239817954819</v>
      </c>
      <c r="C31" s="247" t="s">
        <v>101</v>
      </c>
      <c r="D31" s="248">
        <f>SUM(D30)</f>
        <v>329191.55</v>
      </c>
      <c r="E31" s="248">
        <f>SUM(E30)</f>
        <v>278481.54</v>
      </c>
      <c r="F31" s="248"/>
      <c r="G31" s="248">
        <f>SUM(G30)</f>
        <v>41210.21</v>
      </c>
      <c r="H31" s="248">
        <f>SUM(H30)</f>
        <v>4976.8</v>
      </c>
      <c r="I31" s="248">
        <f>SUM(I30)</f>
        <v>4523</v>
      </c>
      <c r="J31" s="249">
        <v>400000</v>
      </c>
      <c r="K31" s="135">
        <f>D31*100/J31</f>
        <v>82.2978875</v>
      </c>
    </row>
    <row r="32" spans="1:11" ht="12.75">
      <c r="A32" s="244">
        <v>421311</v>
      </c>
      <c r="B32" s="242"/>
      <c r="C32" s="244" t="s">
        <v>25</v>
      </c>
      <c r="D32" s="245">
        <v>402958.32</v>
      </c>
      <c r="E32" s="245">
        <v>115403.72</v>
      </c>
      <c r="F32" s="245">
        <v>287554.6</v>
      </c>
      <c r="G32" s="245"/>
      <c r="H32" s="245"/>
      <c r="I32" s="245"/>
      <c r="J32" s="246"/>
      <c r="K32" s="135"/>
    </row>
    <row r="33" spans="1:11" ht="12.75">
      <c r="A33" s="244">
        <v>421324</v>
      </c>
      <c r="B33" s="242"/>
      <c r="C33" s="244" t="s">
        <v>26</v>
      </c>
      <c r="D33" s="245">
        <v>223094.73</v>
      </c>
      <c r="E33" s="245">
        <v>173122.8</v>
      </c>
      <c r="F33" s="245"/>
      <c r="G33" s="245"/>
      <c r="H33" s="245">
        <v>49971.93</v>
      </c>
      <c r="I33" s="245"/>
      <c r="J33" s="246"/>
      <c r="K33" s="135"/>
    </row>
    <row r="34" spans="1:11" ht="12.75">
      <c r="A34" s="247">
        <v>4213</v>
      </c>
      <c r="B34" s="242">
        <f>D34*100/5006532.98</f>
        <v>12.5047223797575</v>
      </c>
      <c r="C34" s="247" t="s">
        <v>103</v>
      </c>
      <c r="D34" s="248">
        <f>SUM(D32:D33)</f>
        <v>626053.05</v>
      </c>
      <c r="E34" s="248">
        <f>SUM(E32:E33)</f>
        <v>288526.52</v>
      </c>
      <c r="F34" s="248">
        <f>SUM(F32:F33)</f>
        <v>287554.6</v>
      </c>
      <c r="G34" s="248">
        <f>SUM(G32:G33)</f>
        <v>0</v>
      </c>
      <c r="H34" s="248">
        <f>SUM(H32:H33)</f>
        <v>49971.93</v>
      </c>
      <c r="I34" s="248"/>
      <c r="J34" s="249">
        <f>750000+400000</f>
        <v>1150000</v>
      </c>
      <c r="K34" s="135">
        <f>D34*100/J34</f>
        <v>54.43939565217392</v>
      </c>
    </row>
    <row r="35" spans="1:11" ht="12.75">
      <c r="A35" s="244">
        <v>421411</v>
      </c>
      <c r="B35" s="242"/>
      <c r="C35" s="244" t="s">
        <v>27</v>
      </c>
      <c r="D35" s="245">
        <v>34715.6</v>
      </c>
      <c r="E35" s="245">
        <v>34715.6</v>
      </c>
      <c r="F35" s="245"/>
      <c r="G35" s="245"/>
      <c r="H35" s="245"/>
      <c r="I35" s="245"/>
      <c r="J35" s="246"/>
      <c r="K35" s="135"/>
    </row>
    <row r="36" spans="1:11" ht="12.75">
      <c r="A36" s="244">
        <v>421412</v>
      </c>
      <c r="B36" s="242"/>
      <c r="C36" s="244" t="s">
        <v>28</v>
      </c>
      <c r="D36" s="245">
        <v>11800</v>
      </c>
      <c r="E36" s="245"/>
      <c r="F36" s="245"/>
      <c r="G36" s="245">
        <v>11800</v>
      </c>
      <c r="H36" s="245"/>
      <c r="I36" s="245"/>
      <c r="J36" s="246"/>
      <c r="K36" s="135"/>
    </row>
    <row r="37" spans="1:11" ht="12.75">
      <c r="A37" s="244">
        <v>421414</v>
      </c>
      <c r="B37" s="242"/>
      <c r="C37" s="244" t="s">
        <v>29</v>
      </c>
      <c r="D37" s="245">
        <v>14139.92</v>
      </c>
      <c r="E37" s="245"/>
      <c r="F37" s="245"/>
      <c r="G37" s="245">
        <v>14139.92</v>
      </c>
      <c r="H37" s="245"/>
      <c r="I37" s="245"/>
      <c r="J37" s="246"/>
      <c r="K37" s="135"/>
    </row>
    <row r="38" spans="1:11" ht="12.75">
      <c r="A38" s="244">
        <v>421421</v>
      </c>
      <c r="B38" s="242"/>
      <c r="C38" s="244" t="s">
        <v>224</v>
      </c>
      <c r="D38" s="245">
        <v>8000</v>
      </c>
      <c r="E38" s="245">
        <v>8000</v>
      </c>
      <c r="F38" s="245"/>
      <c r="G38" s="245"/>
      <c r="H38" s="245"/>
      <c r="I38" s="245"/>
      <c r="J38" s="246"/>
      <c r="K38" s="135"/>
    </row>
    <row r="39" spans="1:11" ht="12.75">
      <c r="A39" s="244">
        <v>421422</v>
      </c>
      <c r="B39" s="242"/>
      <c r="C39" s="244" t="s">
        <v>31</v>
      </c>
      <c r="D39" s="245">
        <v>44345</v>
      </c>
      <c r="E39" s="245">
        <v>44345</v>
      </c>
      <c r="F39" s="245"/>
      <c r="G39" s="245"/>
      <c r="H39" s="245"/>
      <c r="I39" s="245"/>
      <c r="J39" s="246"/>
      <c r="K39" s="135"/>
    </row>
    <row r="40" spans="1:11" ht="12.75">
      <c r="A40" s="247">
        <v>4214</v>
      </c>
      <c r="B40" s="242">
        <f>D40*100/5006532.98</f>
        <v>2.2570613326909506</v>
      </c>
      <c r="C40" s="247" t="s">
        <v>104</v>
      </c>
      <c r="D40" s="248">
        <f>SUM(D35:D39)</f>
        <v>113000.51999999999</v>
      </c>
      <c r="E40" s="248">
        <f>SUM(E35:E39)</f>
        <v>87060.6</v>
      </c>
      <c r="F40" s="248"/>
      <c r="G40" s="248">
        <f>SUM(G35:G39)</f>
        <v>25939.92</v>
      </c>
      <c r="H40" s="248"/>
      <c r="I40" s="248"/>
      <c r="J40" s="249">
        <v>600000</v>
      </c>
      <c r="K40" s="135">
        <f>D40*100/J40</f>
        <v>18.833419999999997</v>
      </c>
    </row>
    <row r="41" spans="1:11" ht="12.75">
      <c r="A41" s="251"/>
      <c r="B41" s="251"/>
      <c r="C41" s="251"/>
      <c r="D41" s="252"/>
      <c r="E41" s="252"/>
      <c r="F41" s="252"/>
      <c r="G41" s="252"/>
      <c r="H41" s="252"/>
      <c r="I41" s="252"/>
      <c r="J41" s="253"/>
      <c r="K41" s="122"/>
    </row>
    <row r="42" spans="1:11" ht="12.75">
      <c r="A42" s="251"/>
      <c r="B42" s="251"/>
      <c r="C42" s="251"/>
      <c r="D42" s="252"/>
      <c r="E42" s="252"/>
      <c r="F42" s="252"/>
      <c r="G42" s="252"/>
      <c r="H42" s="252"/>
      <c r="I42" s="252"/>
      <c r="J42" s="253"/>
      <c r="K42" s="122"/>
    </row>
    <row r="43" spans="1:11" ht="12.75">
      <c r="A43" s="251"/>
      <c r="B43" s="251"/>
      <c r="C43" s="251"/>
      <c r="D43" s="252"/>
      <c r="E43" s="252"/>
      <c r="F43" s="252"/>
      <c r="G43" s="252"/>
      <c r="H43" s="252"/>
      <c r="I43" s="252"/>
      <c r="J43" s="253"/>
      <c r="K43" s="122"/>
    </row>
    <row r="44" spans="1:11" ht="12.75">
      <c r="A44" s="238" t="s">
        <v>225</v>
      </c>
      <c r="B44" s="238"/>
      <c r="C44" s="238"/>
      <c r="D44" s="238"/>
      <c r="E44" s="238"/>
      <c r="F44" s="235"/>
      <c r="G44" s="254"/>
      <c r="H44" s="252"/>
      <c r="I44" s="252"/>
      <c r="J44" s="238" t="s">
        <v>223</v>
      </c>
      <c r="K44" s="122" t="s">
        <v>172</v>
      </c>
    </row>
    <row r="45" spans="1:11" ht="27.75">
      <c r="A45" s="255" t="s">
        <v>0</v>
      </c>
      <c r="B45" s="255" t="s">
        <v>208</v>
      </c>
      <c r="C45" s="255" t="s">
        <v>1</v>
      </c>
      <c r="D45" s="255" t="s">
        <v>2</v>
      </c>
      <c r="E45" s="255" t="s">
        <v>3</v>
      </c>
      <c r="F45" s="256" t="s">
        <v>4</v>
      </c>
      <c r="G45" s="255" t="s">
        <v>5</v>
      </c>
      <c r="H45" s="255" t="s">
        <v>6</v>
      </c>
      <c r="I45" s="255" t="s">
        <v>7</v>
      </c>
      <c r="J45" s="257" t="s">
        <v>175</v>
      </c>
      <c r="K45" s="226" t="s">
        <v>170</v>
      </c>
    </row>
    <row r="46" spans="1:11" ht="12.75">
      <c r="A46" s="241">
        <v>421512</v>
      </c>
      <c r="B46" s="241"/>
      <c r="C46" s="241" t="s">
        <v>32</v>
      </c>
      <c r="D46" s="243">
        <v>118529.28</v>
      </c>
      <c r="E46" s="243">
        <v>117929.28</v>
      </c>
      <c r="F46" s="243"/>
      <c r="G46" s="243">
        <v>600</v>
      </c>
      <c r="H46" s="243"/>
      <c r="I46" s="243"/>
      <c r="J46" s="242">
        <v>130000</v>
      </c>
      <c r="K46" s="182"/>
    </row>
    <row r="47" spans="1:11" ht="12.75">
      <c r="A47" s="244">
        <v>421513</v>
      </c>
      <c r="B47" s="244"/>
      <c r="C47" s="244" t="s">
        <v>33</v>
      </c>
      <c r="D47" s="245">
        <v>175635.68</v>
      </c>
      <c r="E47" s="245">
        <v>175635.68</v>
      </c>
      <c r="F47" s="245"/>
      <c r="G47" s="245"/>
      <c r="H47" s="245"/>
      <c r="I47" s="245"/>
      <c r="J47" s="246"/>
      <c r="K47" s="135"/>
    </row>
    <row r="48" spans="1:11" ht="12.75">
      <c r="A48" s="244">
        <v>421519</v>
      </c>
      <c r="B48" s="244"/>
      <c r="C48" s="244" t="s">
        <v>34</v>
      </c>
      <c r="D48" s="245">
        <v>458165.39</v>
      </c>
      <c r="E48" s="245">
        <v>458165.39</v>
      </c>
      <c r="F48" s="245"/>
      <c r="G48" s="245"/>
      <c r="H48" s="245"/>
      <c r="I48" s="245"/>
      <c r="J48" s="246">
        <v>1860000</v>
      </c>
      <c r="K48" s="135"/>
    </row>
    <row r="49" spans="1:11" ht="12.75">
      <c r="A49" s="244">
        <v>421521</v>
      </c>
      <c r="B49" s="244"/>
      <c r="C49" s="244" t="s">
        <v>35</v>
      </c>
      <c r="D49" s="245">
        <v>36468</v>
      </c>
      <c r="E49" s="245">
        <v>36468</v>
      </c>
      <c r="F49" s="245"/>
      <c r="G49" s="245"/>
      <c r="H49" s="245"/>
      <c r="I49" s="245"/>
      <c r="J49" s="246">
        <v>220000</v>
      </c>
      <c r="K49" s="135"/>
    </row>
    <row r="50" spans="1:11" ht="12.75">
      <c r="A50" s="247">
        <v>4215</v>
      </c>
      <c r="B50" s="258">
        <f>D50*100/5006532.98</f>
        <v>15.755381082099651</v>
      </c>
      <c r="C50" s="247" t="s">
        <v>169</v>
      </c>
      <c r="D50" s="248">
        <f>SUM(D46:D49)</f>
        <v>788798.35</v>
      </c>
      <c r="E50" s="248">
        <f>SUM(E46:E49)</f>
        <v>788198.35</v>
      </c>
      <c r="F50" s="248"/>
      <c r="G50" s="248">
        <f>SUM(G46:G49)</f>
        <v>600</v>
      </c>
      <c r="H50" s="248"/>
      <c r="I50" s="248"/>
      <c r="J50" s="249">
        <f>SUM(J46:J49)</f>
        <v>2210000</v>
      </c>
      <c r="K50" s="135">
        <f>D50*100/J50</f>
        <v>35.692233031674206</v>
      </c>
    </row>
    <row r="51" spans="1:11" ht="12.75">
      <c r="A51" s="244">
        <v>422111</v>
      </c>
      <c r="B51" s="258"/>
      <c r="C51" s="244" t="s">
        <v>36</v>
      </c>
      <c r="D51" s="245">
        <v>42400</v>
      </c>
      <c r="E51" s="245"/>
      <c r="F51" s="245"/>
      <c r="G51" s="245">
        <v>42400</v>
      </c>
      <c r="H51" s="245"/>
      <c r="I51" s="245"/>
      <c r="J51" s="246"/>
      <c r="K51" s="135"/>
    </row>
    <row r="52" spans="1:11" ht="12.75">
      <c r="A52" s="244">
        <v>422121</v>
      </c>
      <c r="B52" s="258"/>
      <c r="C52" s="244" t="s">
        <v>37</v>
      </c>
      <c r="D52" s="245">
        <v>29806.81</v>
      </c>
      <c r="E52" s="245"/>
      <c r="F52" s="245"/>
      <c r="G52" s="245">
        <v>29806.81</v>
      </c>
      <c r="H52" s="245"/>
      <c r="I52" s="245"/>
      <c r="J52" s="246"/>
      <c r="K52" s="135"/>
    </row>
    <row r="53" spans="1:11" ht="12.75">
      <c r="A53" s="244">
        <v>422194</v>
      </c>
      <c r="B53" s="258"/>
      <c r="C53" s="244" t="s">
        <v>38</v>
      </c>
      <c r="D53" s="245">
        <v>0</v>
      </c>
      <c r="E53" s="245"/>
      <c r="F53" s="245"/>
      <c r="G53" s="245"/>
      <c r="H53" s="245"/>
      <c r="I53" s="245"/>
      <c r="J53" s="246"/>
      <c r="K53" s="135"/>
    </row>
    <row r="54" spans="1:11" ht="12.75">
      <c r="A54" s="244">
        <v>422199</v>
      </c>
      <c r="B54" s="258"/>
      <c r="C54" s="244" t="s">
        <v>39</v>
      </c>
      <c r="D54" s="245">
        <v>15600</v>
      </c>
      <c r="E54" s="245"/>
      <c r="F54" s="245"/>
      <c r="G54" s="245">
        <v>15600</v>
      </c>
      <c r="H54" s="245"/>
      <c r="I54" s="245"/>
      <c r="J54" s="246"/>
      <c r="K54" s="135"/>
    </row>
    <row r="55" spans="1:11" ht="12.75">
      <c r="A55" s="247">
        <v>4221</v>
      </c>
      <c r="B55" s="258">
        <f>D55*100/5006532.98</f>
        <v>1.7538446336170943</v>
      </c>
      <c r="C55" s="247" t="s">
        <v>105</v>
      </c>
      <c r="D55" s="248">
        <f>SUM(D51:D54)</f>
        <v>87806.81</v>
      </c>
      <c r="E55" s="248"/>
      <c r="F55" s="248"/>
      <c r="G55" s="248">
        <f>SUM(G51:G54)</f>
        <v>87806.81</v>
      </c>
      <c r="H55" s="248"/>
      <c r="I55" s="248"/>
      <c r="J55" s="246"/>
      <c r="K55" s="135"/>
    </row>
    <row r="56" spans="1:11" ht="12.75">
      <c r="A56" s="244">
        <v>423291</v>
      </c>
      <c r="B56" s="258"/>
      <c r="C56" s="244" t="s">
        <v>40</v>
      </c>
      <c r="D56" s="245">
        <v>68748</v>
      </c>
      <c r="E56" s="245">
        <v>45148</v>
      </c>
      <c r="F56" s="245"/>
      <c r="G56" s="245">
        <v>23600</v>
      </c>
      <c r="H56" s="245"/>
      <c r="I56" s="245"/>
      <c r="J56" s="246"/>
      <c r="K56" s="135"/>
    </row>
    <row r="57" spans="1:11" ht="12.75">
      <c r="A57" s="247">
        <v>4232</v>
      </c>
      <c r="B57" s="258">
        <f>D57*100/5006532.98</f>
        <v>1.3731658270230749</v>
      </c>
      <c r="C57" s="247" t="s">
        <v>106</v>
      </c>
      <c r="D57" s="248">
        <f>SUM(D56)</f>
        <v>68748</v>
      </c>
      <c r="E57" s="248">
        <f>SUM(E56)</f>
        <v>45148</v>
      </c>
      <c r="F57" s="248"/>
      <c r="G57" s="248">
        <f>SUM(G56)</f>
        <v>23600</v>
      </c>
      <c r="H57" s="248"/>
      <c r="I57" s="248"/>
      <c r="J57" s="249">
        <v>100000</v>
      </c>
      <c r="K57" s="135">
        <f>D57*100/J57</f>
        <v>68.748</v>
      </c>
    </row>
    <row r="58" spans="1:11" ht="12.75">
      <c r="A58" s="244">
        <v>423311</v>
      </c>
      <c r="B58" s="258"/>
      <c r="C58" s="244" t="s">
        <v>42</v>
      </c>
      <c r="D58" s="245">
        <v>90000</v>
      </c>
      <c r="E58" s="245"/>
      <c r="F58" s="245"/>
      <c r="G58" s="245">
        <v>90000</v>
      </c>
      <c r="H58" s="245"/>
      <c r="I58" s="245"/>
      <c r="J58" s="246"/>
      <c r="K58" s="135"/>
    </row>
    <row r="59" spans="1:11" ht="12.75">
      <c r="A59" s="244">
        <v>423321</v>
      </c>
      <c r="B59" s="258"/>
      <c r="C59" s="244" t="s">
        <v>41</v>
      </c>
      <c r="D59" s="245">
        <v>2720</v>
      </c>
      <c r="E59" s="245"/>
      <c r="F59" s="245"/>
      <c r="G59" s="245">
        <v>2720</v>
      </c>
      <c r="H59" s="245"/>
      <c r="I59" s="245"/>
      <c r="J59" s="246"/>
      <c r="K59" s="135"/>
    </row>
    <row r="60" spans="1:11" ht="12.75">
      <c r="A60" s="244">
        <v>4233910</v>
      </c>
      <c r="B60" s="258"/>
      <c r="C60" s="244" t="s">
        <v>130</v>
      </c>
      <c r="D60" s="245">
        <v>62307.99</v>
      </c>
      <c r="E60" s="245"/>
      <c r="F60" s="245"/>
      <c r="G60" s="245">
        <v>62307.99</v>
      </c>
      <c r="H60" s="245"/>
      <c r="I60" s="245"/>
      <c r="J60" s="246"/>
      <c r="K60" s="135"/>
    </row>
    <row r="61" spans="1:11" ht="12.75">
      <c r="A61" s="247">
        <v>4233</v>
      </c>
      <c r="B61" s="258">
        <f>D61*100/5006532.98</f>
        <v>3.096513907314758</v>
      </c>
      <c r="C61" s="247" t="s">
        <v>107</v>
      </c>
      <c r="D61" s="248">
        <f>SUM(D58:D60)</f>
        <v>155027.99</v>
      </c>
      <c r="E61" s="248"/>
      <c r="F61" s="248"/>
      <c r="G61" s="248">
        <f>SUM(G58:G60)</f>
        <v>155027.99</v>
      </c>
      <c r="H61" s="248"/>
      <c r="I61" s="248"/>
      <c r="J61" s="246"/>
      <c r="K61" s="135"/>
    </row>
    <row r="62" spans="1:11" ht="12.75">
      <c r="A62" s="244">
        <v>423421</v>
      </c>
      <c r="B62" s="258"/>
      <c r="C62" s="244" t="s">
        <v>43</v>
      </c>
      <c r="D62" s="245">
        <v>6499.99</v>
      </c>
      <c r="E62" s="245"/>
      <c r="F62" s="245"/>
      <c r="G62" s="245">
        <v>6499.99</v>
      </c>
      <c r="H62" s="245"/>
      <c r="I62" s="245"/>
      <c r="J62" s="246"/>
      <c r="K62" s="135"/>
    </row>
    <row r="63" spans="1:11" ht="12.75">
      <c r="A63" s="259">
        <v>423432</v>
      </c>
      <c r="B63" s="258"/>
      <c r="C63" s="259" t="s">
        <v>44</v>
      </c>
      <c r="D63" s="260">
        <v>53980.44</v>
      </c>
      <c r="E63" s="260"/>
      <c r="F63" s="260"/>
      <c r="G63" s="260">
        <v>53980.44</v>
      </c>
      <c r="H63" s="260"/>
      <c r="I63" s="260"/>
      <c r="J63" s="246"/>
      <c r="K63" s="135"/>
    </row>
    <row r="64" spans="1:11" ht="12.75">
      <c r="A64" s="247">
        <v>4234</v>
      </c>
      <c r="B64" s="258">
        <f>D64*100/5006532.98</f>
        <v>1.2080301925824923</v>
      </c>
      <c r="C64" s="247" t="s">
        <v>108</v>
      </c>
      <c r="D64" s="248">
        <f>SUM(D62:D63)</f>
        <v>60480.43</v>
      </c>
      <c r="E64" s="248"/>
      <c r="F64" s="248"/>
      <c r="G64" s="248">
        <f>SUM(G62:G63)</f>
        <v>60480.43</v>
      </c>
      <c r="H64" s="248"/>
      <c r="I64" s="248"/>
      <c r="J64" s="246"/>
      <c r="K64" s="135"/>
    </row>
    <row r="65" spans="1:11" ht="12.75">
      <c r="A65" s="244">
        <v>423539</v>
      </c>
      <c r="B65" s="258"/>
      <c r="C65" s="244" t="s">
        <v>131</v>
      </c>
      <c r="D65" s="245">
        <v>88000</v>
      </c>
      <c r="E65" s="245"/>
      <c r="F65" s="245"/>
      <c r="G65" s="245"/>
      <c r="H65" s="245">
        <v>88000</v>
      </c>
      <c r="I65" s="245"/>
      <c r="J65" s="246"/>
      <c r="K65" s="135"/>
    </row>
    <row r="66" spans="1:11" ht="12.75">
      <c r="A66" s="244">
        <v>423599</v>
      </c>
      <c r="B66" s="258"/>
      <c r="C66" s="244" t="s">
        <v>45</v>
      </c>
      <c r="D66" s="245">
        <v>101790.15</v>
      </c>
      <c r="E66" s="245"/>
      <c r="F66" s="245"/>
      <c r="G66" s="245">
        <v>101790.15</v>
      </c>
      <c r="H66" s="245"/>
      <c r="I66" s="245"/>
      <c r="J66" s="246"/>
      <c r="K66" s="135"/>
    </row>
    <row r="67" spans="1:11" ht="12.75">
      <c r="A67" s="247">
        <v>4235</v>
      </c>
      <c r="B67" s="258">
        <f>D67*100/5006532.98</f>
        <v>3.7908498906962156</v>
      </c>
      <c r="C67" s="247" t="s">
        <v>109</v>
      </c>
      <c r="D67" s="248">
        <f>SUM(D65:D66)</f>
        <v>189790.15</v>
      </c>
      <c r="E67" s="248"/>
      <c r="F67" s="248"/>
      <c r="G67" s="248">
        <f>SUM(G65:G66)</f>
        <v>101790.15</v>
      </c>
      <c r="H67" s="248">
        <f>SUM(H65:H66)</f>
        <v>88000</v>
      </c>
      <c r="I67" s="248"/>
      <c r="J67" s="246">
        <v>50000</v>
      </c>
      <c r="K67" s="135">
        <f>D67*100/J67</f>
        <v>379.5803</v>
      </c>
    </row>
    <row r="68" spans="1:11" ht="12.75">
      <c r="A68" s="244">
        <v>423611</v>
      </c>
      <c r="B68" s="258"/>
      <c r="C68" s="244" t="s">
        <v>46</v>
      </c>
      <c r="D68" s="245">
        <v>612933.3</v>
      </c>
      <c r="E68" s="245"/>
      <c r="F68" s="245">
        <v>612933.3</v>
      </c>
      <c r="G68" s="245"/>
      <c r="H68" s="245"/>
      <c r="I68" s="245"/>
      <c r="J68" s="246"/>
      <c r="K68" s="135"/>
    </row>
    <row r="69" spans="1:11" ht="12.75">
      <c r="A69" s="247">
        <v>4236</v>
      </c>
      <c r="B69" s="258">
        <f>D69*100/5006532.98</f>
        <v>12.24266977664052</v>
      </c>
      <c r="C69" s="247" t="s">
        <v>110</v>
      </c>
      <c r="D69" s="248">
        <f>SUM(D68)</f>
        <v>612933.3</v>
      </c>
      <c r="E69" s="248">
        <f>SUM(E68)</f>
        <v>0</v>
      </c>
      <c r="F69" s="248">
        <f>SUM(F68)</f>
        <v>612933.3</v>
      </c>
      <c r="G69" s="248"/>
      <c r="H69" s="248"/>
      <c r="I69" s="248"/>
      <c r="J69" s="249">
        <v>2800000</v>
      </c>
      <c r="K69" s="135">
        <f>D69*100/J69</f>
        <v>21.890475000000002</v>
      </c>
    </row>
    <row r="70" spans="1:11" ht="12.75">
      <c r="A70" s="244">
        <v>423711</v>
      </c>
      <c r="B70" s="258"/>
      <c r="C70" s="244" t="s">
        <v>47</v>
      </c>
      <c r="D70" s="245">
        <v>6768.34</v>
      </c>
      <c r="E70" s="245"/>
      <c r="F70" s="245"/>
      <c r="G70" s="245">
        <v>6768.34</v>
      </c>
      <c r="H70" s="245"/>
      <c r="I70" s="245"/>
      <c r="J70" s="246"/>
      <c r="K70" s="135"/>
    </row>
    <row r="71" spans="1:11" ht="12.75">
      <c r="A71" s="247">
        <v>4237</v>
      </c>
      <c r="B71" s="258">
        <f>D71*100/5006532.98</f>
        <v>0.13519016107629833</v>
      </c>
      <c r="C71" s="247" t="s">
        <v>47</v>
      </c>
      <c r="D71" s="248">
        <f>SUM(D70)</f>
        <v>6768.34</v>
      </c>
      <c r="E71" s="248"/>
      <c r="F71" s="248"/>
      <c r="G71" s="248">
        <f>SUM(G70)</f>
        <v>6768.34</v>
      </c>
      <c r="H71" s="248"/>
      <c r="I71" s="248"/>
      <c r="J71" s="246"/>
      <c r="K71" s="135"/>
    </row>
    <row r="72" spans="1:11" ht="12.75">
      <c r="A72" s="244">
        <v>423911</v>
      </c>
      <c r="B72" s="258"/>
      <c r="C72" s="244" t="s">
        <v>48</v>
      </c>
      <c r="D72" s="245">
        <v>26048</v>
      </c>
      <c r="E72" s="245">
        <v>26048</v>
      </c>
      <c r="F72" s="245"/>
      <c r="G72" s="245"/>
      <c r="H72" s="245"/>
      <c r="I72" s="245"/>
      <c r="J72" s="246"/>
      <c r="K72" s="135"/>
    </row>
    <row r="73" spans="1:11" ht="12.75">
      <c r="A73" s="247">
        <v>4239</v>
      </c>
      <c r="B73" s="258">
        <f>D73*100/5006532.98</f>
        <v>0.520280203966618</v>
      </c>
      <c r="C73" s="247" t="s">
        <v>48</v>
      </c>
      <c r="D73" s="248">
        <f>SUM(D72)</f>
        <v>26048</v>
      </c>
      <c r="E73" s="248">
        <f>SUM(E72)</f>
        <v>26048</v>
      </c>
      <c r="F73" s="248"/>
      <c r="G73" s="248"/>
      <c r="H73" s="248"/>
      <c r="I73" s="248"/>
      <c r="J73" s="249">
        <v>150000</v>
      </c>
      <c r="K73" s="135">
        <f>D73*100/J73</f>
        <v>17.365333333333332</v>
      </c>
    </row>
    <row r="74" spans="1:11" ht="12.75">
      <c r="A74" s="244">
        <v>424351</v>
      </c>
      <c r="B74" s="258"/>
      <c r="C74" s="244" t="s">
        <v>49</v>
      </c>
      <c r="D74" s="245">
        <v>0</v>
      </c>
      <c r="E74" s="245"/>
      <c r="F74" s="245"/>
      <c r="G74" s="245"/>
      <c r="H74" s="245"/>
      <c r="I74" s="245"/>
      <c r="J74" s="246"/>
      <c r="K74" s="135"/>
    </row>
    <row r="75" spans="1:11" ht="12.75">
      <c r="A75" s="247">
        <v>4243</v>
      </c>
      <c r="B75" s="258">
        <f>D75*100/5006532.98</f>
        <v>0</v>
      </c>
      <c r="C75" s="247" t="s">
        <v>111</v>
      </c>
      <c r="D75" s="248">
        <f>SUM(D74)</f>
        <v>0</v>
      </c>
      <c r="E75" s="248"/>
      <c r="F75" s="248"/>
      <c r="G75" s="248"/>
      <c r="H75" s="248"/>
      <c r="I75" s="248"/>
      <c r="J75" s="249">
        <v>120000</v>
      </c>
      <c r="K75" s="135">
        <f>D75*100/J75</f>
        <v>0</v>
      </c>
    </row>
    <row r="76" spans="1:11" ht="12.75">
      <c r="A76" s="244">
        <v>425112</v>
      </c>
      <c r="B76" s="258"/>
      <c r="C76" s="244" t="s">
        <v>50</v>
      </c>
      <c r="D76" s="245">
        <v>10358.04</v>
      </c>
      <c r="E76" s="245">
        <v>10358.04</v>
      </c>
      <c r="F76" s="245"/>
      <c r="G76" s="245"/>
      <c r="H76" s="245"/>
      <c r="I76" s="245"/>
      <c r="J76" s="246"/>
      <c r="K76" s="135"/>
    </row>
    <row r="77" spans="1:11" ht="12.75">
      <c r="A77" s="244">
        <v>425115</v>
      </c>
      <c r="B77" s="258"/>
      <c r="C77" s="244" t="s">
        <v>51</v>
      </c>
      <c r="D77" s="245">
        <v>11145.1</v>
      </c>
      <c r="E77" s="245">
        <v>11145.1</v>
      </c>
      <c r="F77" s="245"/>
      <c r="G77" s="245"/>
      <c r="H77" s="245"/>
      <c r="I77" s="245"/>
      <c r="J77" s="246"/>
      <c r="K77" s="135"/>
    </row>
    <row r="78" spans="1:11" ht="12.75">
      <c r="A78" s="244">
        <v>425117</v>
      </c>
      <c r="B78" s="258"/>
      <c r="C78" s="244" t="s">
        <v>52</v>
      </c>
      <c r="D78" s="245">
        <v>35272.32</v>
      </c>
      <c r="E78" s="245">
        <v>15361</v>
      </c>
      <c r="F78" s="245"/>
      <c r="G78" s="245"/>
      <c r="H78" s="245">
        <v>19911.32</v>
      </c>
      <c r="I78" s="245"/>
      <c r="J78" s="246"/>
      <c r="K78" s="135"/>
    </row>
    <row r="79" spans="1:11" ht="12.75">
      <c r="A79" s="247">
        <v>4251</v>
      </c>
      <c r="B79" s="258">
        <f>D79*100/5006532.98</f>
        <v>1.1340274842252211</v>
      </c>
      <c r="C79" s="247" t="s">
        <v>112</v>
      </c>
      <c r="D79" s="248">
        <f>SUM(D76:D78)</f>
        <v>56775.46</v>
      </c>
      <c r="E79" s="248">
        <f>SUM(E74:E78)</f>
        <v>36864.14</v>
      </c>
      <c r="F79" s="248"/>
      <c r="G79" s="248">
        <f>SUM(G74:G78)</f>
        <v>0</v>
      </c>
      <c r="H79" s="248">
        <f>SUM(H78)</f>
        <v>19911.32</v>
      </c>
      <c r="I79" s="248"/>
      <c r="J79" s="249">
        <v>162000</v>
      </c>
      <c r="K79" s="135">
        <f>D79*100/J79</f>
        <v>35.04658024691358</v>
      </c>
    </row>
    <row r="80" spans="1:11" ht="12.75">
      <c r="A80" s="244">
        <v>425211</v>
      </c>
      <c r="B80" s="258"/>
      <c r="C80" s="244" t="s">
        <v>53</v>
      </c>
      <c r="D80" s="245">
        <v>18172</v>
      </c>
      <c r="E80" s="245">
        <v>18172</v>
      </c>
      <c r="F80" s="245"/>
      <c r="G80" s="245"/>
      <c r="H80" s="245"/>
      <c r="I80" s="245"/>
      <c r="J80" s="246">
        <v>750000</v>
      </c>
      <c r="K80" s="135">
        <f>D80*100/J80</f>
        <v>2.4229333333333334</v>
      </c>
    </row>
    <row r="81" spans="1:11" ht="12.75">
      <c r="A81" s="244">
        <v>425212</v>
      </c>
      <c r="B81" s="258"/>
      <c r="C81" s="244" t="s">
        <v>54</v>
      </c>
      <c r="D81" s="245">
        <v>0</v>
      </c>
      <c r="E81" s="245"/>
      <c r="F81" s="245"/>
      <c r="G81" s="245"/>
      <c r="H81" s="245"/>
      <c r="I81" s="245"/>
      <c r="J81" s="246">
        <v>600000</v>
      </c>
      <c r="K81" s="135">
        <f>D81*100/J81</f>
        <v>0</v>
      </c>
    </row>
    <row r="82" spans="1:11" ht="12.75">
      <c r="A82" s="244">
        <v>425213</v>
      </c>
      <c r="B82" s="258"/>
      <c r="C82" s="244" t="s">
        <v>55</v>
      </c>
      <c r="D82" s="245">
        <v>0</v>
      </c>
      <c r="E82" s="245"/>
      <c r="F82" s="245"/>
      <c r="G82" s="245"/>
      <c r="H82" s="245"/>
      <c r="I82" s="245"/>
      <c r="J82" s="246"/>
      <c r="K82" s="135"/>
    </row>
    <row r="83" spans="1:11" ht="12.75">
      <c r="A83" s="244">
        <v>425222</v>
      </c>
      <c r="B83" s="258"/>
      <c r="C83" s="244" t="s">
        <v>56</v>
      </c>
      <c r="D83" s="245">
        <v>44185</v>
      </c>
      <c r="E83" s="245">
        <v>44185</v>
      </c>
      <c r="F83" s="245"/>
      <c r="G83" s="245"/>
      <c r="H83" s="245"/>
      <c r="I83" s="245"/>
      <c r="J83" s="246"/>
      <c r="K83" s="135"/>
    </row>
    <row r="84" spans="1:11" ht="12.75">
      <c r="A84" s="244">
        <v>425223</v>
      </c>
      <c r="B84" s="258"/>
      <c r="C84" s="244" t="s">
        <v>57</v>
      </c>
      <c r="D84" s="245">
        <v>38550</v>
      </c>
      <c r="E84" s="245">
        <v>38550</v>
      </c>
      <c r="F84" s="245"/>
      <c r="G84" s="245"/>
      <c r="H84" s="245"/>
      <c r="I84" s="245"/>
      <c r="J84" s="246"/>
      <c r="K84" s="135"/>
    </row>
    <row r="85" spans="1:11" ht="12.75">
      <c r="A85" s="244">
        <v>425225</v>
      </c>
      <c r="B85" s="258"/>
      <c r="C85" s="244" t="s">
        <v>58</v>
      </c>
      <c r="D85" s="245">
        <v>0</v>
      </c>
      <c r="E85" s="245"/>
      <c r="F85" s="245"/>
      <c r="G85" s="245"/>
      <c r="H85" s="245"/>
      <c r="I85" s="245"/>
      <c r="J85" s="246"/>
      <c r="K85" s="135"/>
    </row>
    <row r="86" spans="1:11" ht="12.75">
      <c r="A86" s="244">
        <v>425251</v>
      </c>
      <c r="B86" s="258"/>
      <c r="C86" s="244" t="s">
        <v>59</v>
      </c>
      <c r="D86" s="245">
        <v>106038</v>
      </c>
      <c r="E86" s="245"/>
      <c r="F86" s="245"/>
      <c r="G86" s="245">
        <v>106038</v>
      </c>
      <c r="H86" s="245"/>
      <c r="I86" s="245"/>
      <c r="J86" s="246">
        <v>850000</v>
      </c>
      <c r="K86" s="135">
        <f>D86*100/J86</f>
        <v>12.475058823529412</v>
      </c>
    </row>
    <row r="87" spans="1:11" ht="12.75">
      <c r="A87" s="244">
        <v>425252</v>
      </c>
      <c r="B87" s="258"/>
      <c r="C87" s="244" t="s">
        <v>60</v>
      </c>
      <c r="D87" s="245">
        <v>0</v>
      </c>
      <c r="E87" s="245"/>
      <c r="F87" s="245"/>
      <c r="G87" s="245"/>
      <c r="H87" s="245"/>
      <c r="I87" s="245"/>
      <c r="J87" s="246"/>
      <c r="K87" s="135"/>
    </row>
    <row r="88" spans="1:11" ht="12.75">
      <c r="A88" s="254"/>
      <c r="B88" s="261"/>
      <c r="C88" s="254"/>
      <c r="D88" s="262"/>
      <c r="E88" s="262"/>
      <c r="F88" s="262"/>
      <c r="G88" s="262"/>
      <c r="H88" s="262"/>
      <c r="I88" s="262"/>
      <c r="J88" s="253"/>
      <c r="K88" s="136"/>
    </row>
    <row r="89" spans="1:11" ht="12.75">
      <c r="A89" s="254"/>
      <c r="B89" s="261"/>
      <c r="C89" s="254"/>
      <c r="D89" s="262"/>
      <c r="E89" s="262"/>
      <c r="F89" s="262"/>
      <c r="G89" s="262"/>
      <c r="H89" s="262"/>
      <c r="I89" s="262"/>
      <c r="J89" s="253"/>
      <c r="K89" s="136"/>
    </row>
    <row r="90" spans="1:11" ht="12.75">
      <c r="A90" s="238" t="s">
        <v>225</v>
      </c>
      <c r="B90" s="238"/>
      <c r="C90" s="238"/>
      <c r="D90" s="238"/>
      <c r="E90" s="238"/>
      <c r="F90" s="235"/>
      <c r="G90" s="252"/>
      <c r="H90" s="252"/>
      <c r="I90" s="252"/>
      <c r="J90" s="238" t="s">
        <v>223</v>
      </c>
      <c r="K90" s="122" t="s">
        <v>173</v>
      </c>
    </row>
    <row r="91" spans="1:11" ht="27.75">
      <c r="A91" s="255" t="s">
        <v>0</v>
      </c>
      <c r="B91" s="255" t="s">
        <v>208</v>
      </c>
      <c r="C91" s="255" t="s">
        <v>1</v>
      </c>
      <c r="D91" s="255" t="s">
        <v>2</v>
      </c>
      <c r="E91" s="255" t="s">
        <v>3</v>
      </c>
      <c r="F91" s="256" t="s">
        <v>4</v>
      </c>
      <c r="G91" s="255" t="s">
        <v>5</v>
      </c>
      <c r="H91" s="255" t="s">
        <v>6</v>
      </c>
      <c r="I91" s="255" t="s">
        <v>7</v>
      </c>
      <c r="J91" s="257" t="s">
        <v>175</v>
      </c>
      <c r="K91" s="226" t="s">
        <v>170</v>
      </c>
    </row>
    <row r="92" spans="1:11" ht="12.75">
      <c r="A92" s="241">
        <v>425281</v>
      </c>
      <c r="B92" s="241"/>
      <c r="C92" s="241" t="s">
        <v>61</v>
      </c>
      <c r="D92" s="243">
        <v>3524</v>
      </c>
      <c r="E92" s="243">
        <v>3524</v>
      </c>
      <c r="F92" s="243"/>
      <c r="G92" s="243"/>
      <c r="H92" s="243"/>
      <c r="I92" s="243"/>
      <c r="J92" s="242"/>
      <c r="K92" s="159"/>
    </row>
    <row r="93" spans="1:11" ht="12.75">
      <c r="A93" s="244">
        <v>425291</v>
      </c>
      <c r="B93" s="244"/>
      <c r="C93" s="244" t="s">
        <v>62</v>
      </c>
      <c r="D93" s="245">
        <v>53836.8</v>
      </c>
      <c r="E93" s="245">
        <v>53686.8</v>
      </c>
      <c r="F93" s="245"/>
      <c r="G93" s="245">
        <v>150</v>
      </c>
      <c r="H93" s="245"/>
      <c r="I93" s="245"/>
      <c r="J93" s="246"/>
      <c r="K93" s="135"/>
    </row>
    <row r="94" spans="1:11" ht="12.75">
      <c r="A94" s="247">
        <v>4252</v>
      </c>
      <c r="B94" s="258">
        <f>D94*100/5006532.98</f>
        <v>5.279218194623777</v>
      </c>
      <c r="C94" s="247" t="s">
        <v>113</v>
      </c>
      <c r="D94" s="248">
        <f>D80+D81+D82+D83+D84+D85+D86+D87+D92+D93</f>
        <v>264305.8</v>
      </c>
      <c r="E94" s="248">
        <f>E80+E81+E82+E83+E84+E85+E86+E87+E92+E93</f>
        <v>158117.8</v>
      </c>
      <c r="F94" s="248"/>
      <c r="G94" s="248">
        <f>SUM(G85:G93)</f>
        <v>106188</v>
      </c>
      <c r="H94" s="248"/>
      <c r="I94" s="248"/>
      <c r="J94" s="249">
        <f>J80+J81+J82+J83+J84+J85+J86+J87+J92+J93</f>
        <v>2200000</v>
      </c>
      <c r="K94" s="135">
        <f>D94*100/J94</f>
        <v>12.0139</v>
      </c>
    </row>
    <row r="95" spans="1:11" ht="12.75">
      <c r="A95" s="244">
        <v>426111</v>
      </c>
      <c r="B95" s="258"/>
      <c r="C95" s="244" t="s">
        <v>63</v>
      </c>
      <c r="D95" s="245">
        <v>439441.28</v>
      </c>
      <c r="E95" s="245"/>
      <c r="F95" s="245">
        <v>439441.28</v>
      </c>
      <c r="G95" s="245"/>
      <c r="H95" s="245"/>
      <c r="I95" s="245"/>
      <c r="J95" s="246"/>
      <c r="K95" s="135"/>
    </row>
    <row r="96" spans="1:11" ht="12.75">
      <c r="A96" s="244">
        <v>426121</v>
      </c>
      <c r="B96" s="258"/>
      <c r="C96" s="244" t="s">
        <v>132</v>
      </c>
      <c r="D96" s="245">
        <v>8484.2</v>
      </c>
      <c r="E96" s="245">
        <v>8484.2</v>
      </c>
      <c r="F96" s="245"/>
      <c r="G96" s="245"/>
      <c r="H96" s="245"/>
      <c r="I96" s="245"/>
      <c r="J96" s="246"/>
      <c r="K96" s="135"/>
    </row>
    <row r="97" spans="1:11" ht="12.75">
      <c r="A97" s="244">
        <v>426129</v>
      </c>
      <c r="B97" s="258"/>
      <c r="C97" s="244" t="s">
        <v>64</v>
      </c>
      <c r="D97" s="245">
        <v>5392.6</v>
      </c>
      <c r="E97" s="245">
        <v>5392.6</v>
      </c>
      <c r="F97" s="245"/>
      <c r="G97" s="245"/>
      <c r="H97" s="245"/>
      <c r="I97" s="245"/>
      <c r="J97" s="246"/>
      <c r="K97" s="135"/>
    </row>
    <row r="98" spans="1:11" ht="12.75">
      <c r="A98" s="247">
        <v>4261</v>
      </c>
      <c r="B98" s="258">
        <f>D98*100/5006532.98</f>
        <v>9.054530986031773</v>
      </c>
      <c r="C98" s="247" t="s">
        <v>114</v>
      </c>
      <c r="D98" s="248">
        <f>SUM(D95:D97)</f>
        <v>453318.08</v>
      </c>
      <c r="E98" s="248">
        <f>SUM(E95:E97)</f>
        <v>13876.800000000001</v>
      </c>
      <c r="F98" s="248">
        <f>SUM(F95:F97)</f>
        <v>439441.28</v>
      </c>
      <c r="G98" s="248"/>
      <c r="H98" s="248"/>
      <c r="I98" s="248"/>
      <c r="J98" s="249">
        <v>1150000</v>
      </c>
      <c r="K98" s="135">
        <f>D98*100/J98</f>
        <v>39.41896347826087</v>
      </c>
    </row>
    <row r="99" spans="1:11" ht="12.75">
      <c r="A99" s="244">
        <v>426311</v>
      </c>
      <c r="B99" s="258"/>
      <c r="C99" s="244" t="s">
        <v>65</v>
      </c>
      <c r="D99" s="245">
        <v>77900</v>
      </c>
      <c r="E99" s="245"/>
      <c r="F99" s="245"/>
      <c r="G99" s="245">
        <v>77900</v>
      </c>
      <c r="H99" s="245"/>
      <c r="I99" s="245"/>
      <c r="J99" s="246"/>
      <c r="K99" s="135"/>
    </row>
    <row r="100" spans="1:11" ht="12.75">
      <c r="A100" s="247">
        <v>4263</v>
      </c>
      <c r="B100" s="258">
        <f>D100*100/5006532.98</f>
        <v>1.5559669797681028</v>
      </c>
      <c r="C100" s="247" t="s">
        <v>115</v>
      </c>
      <c r="D100" s="248">
        <f>SUM(D99)</f>
        <v>77900</v>
      </c>
      <c r="E100" s="248"/>
      <c r="F100" s="248"/>
      <c r="G100" s="248">
        <f>SUM(G99)</f>
        <v>77900</v>
      </c>
      <c r="H100" s="248"/>
      <c r="I100" s="248"/>
      <c r="J100" s="246"/>
      <c r="K100" s="135"/>
    </row>
    <row r="101" spans="1:11" ht="12.75">
      <c r="A101" s="244">
        <v>426491</v>
      </c>
      <c r="B101" s="258"/>
      <c r="C101" s="244" t="s">
        <v>69</v>
      </c>
      <c r="D101" s="245">
        <v>293820.82</v>
      </c>
      <c r="E101" s="245"/>
      <c r="F101" s="245">
        <v>293820.82</v>
      </c>
      <c r="G101" s="245"/>
      <c r="H101" s="245"/>
      <c r="I101" s="245"/>
      <c r="J101" s="246"/>
      <c r="K101" s="135"/>
    </row>
    <row r="102" spans="1:11" ht="12.75">
      <c r="A102" s="247">
        <v>4264</v>
      </c>
      <c r="B102" s="258">
        <f>D102*100/5006532.98</f>
        <v>5.8687483169240995</v>
      </c>
      <c r="C102" s="247" t="s">
        <v>116</v>
      </c>
      <c r="D102" s="248">
        <f>SUM(D101)</f>
        <v>293820.82</v>
      </c>
      <c r="E102" s="248">
        <f>SUM(E101)</f>
        <v>0</v>
      </c>
      <c r="F102" s="248">
        <f>SUM(F101)</f>
        <v>293820.82</v>
      </c>
      <c r="G102" s="248">
        <f>SUM(G101)</f>
        <v>0</v>
      </c>
      <c r="H102" s="248"/>
      <c r="I102" s="248"/>
      <c r="J102" s="248">
        <v>100000</v>
      </c>
      <c r="K102" s="135">
        <f>D102*100/J102</f>
        <v>293.82082</v>
      </c>
    </row>
    <row r="103" spans="1:11" ht="12.75">
      <c r="A103" s="244">
        <v>426811</v>
      </c>
      <c r="B103" s="258"/>
      <c r="C103" s="244" t="s">
        <v>76</v>
      </c>
      <c r="D103" s="245">
        <v>60097.97</v>
      </c>
      <c r="E103" s="245">
        <v>60097.97</v>
      </c>
      <c r="F103" s="245"/>
      <c r="G103" s="245"/>
      <c r="H103" s="245"/>
      <c r="I103" s="245"/>
      <c r="J103" s="246"/>
      <c r="K103" s="135"/>
    </row>
    <row r="104" spans="1:11" ht="12.75">
      <c r="A104" s="244">
        <v>426812</v>
      </c>
      <c r="B104" s="258"/>
      <c r="C104" s="244" t="s">
        <v>77</v>
      </c>
      <c r="D104" s="245">
        <v>16461</v>
      </c>
      <c r="E104" s="245">
        <v>16461</v>
      </c>
      <c r="F104" s="245"/>
      <c r="G104" s="245"/>
      <c r="H104" s="245"/>
      <c r="I104" s="245"/>
      <c r="J104" s="246"/>
      <c r="K104" s="135"/>
    </row>
    <row r="105" spans="1:11" ht="12.75">
      <c r="A105" s="244">
        <v>426819</v>
      </c>
      <c r="B105" s="258"/>
      <c r="C105" s="244" t="s">
        <v>78</v>
      </c>
      <c r="D105" s="245">
        <v>0</v>
      </c>
      <c r="E105" s="245"/>
      <c r="F105" s="245"/>
      <c r="G105" s="245"/>
      <c r="H105" s="245"/>
      <c r="I105" s="245"/>
      <c r="J105" s="246"/>
      <c r="K105" s="135"/>
    </row>
    <row r="106" spans="1:11" ht="12.75">
      <c r="A106" s="247">
        <v>4268</v>
      </c>
      <c r="B106" s="258">
        <f>D106*100/5006532.98</f>
        <v>1.5291813777285852</v>
      </c>
      <c r="C106" s="247" t="s">
        <v>118</v>
      </c>
      <c r="D106" s="248">
        <f>SUM(D103:D105)</f>
        <v>76558.97</v>
      </c>
      <c r="E106" s="248">
        <f>SUM(E103:E105)</f>
        <v>76558.97</v>
      </c>
      <c r="F106" s="248"/>
      <c r="G106" s="248"/>
      <c r="H106" s="248"/>
      <c r="I106" s="248"/>
      <c r="J106" s="249">
        <v>300000</v>
      </c>
      <c r="K106" s="135">
        <f>D106*100/J106</f>
        <v>25.519656666666666</v>
      </c>
    </row>
    <row r="107" spans="1:11" ht="12.75">
      <c r="A107" s="244">
        <v>426911</v>
      </c>
      <c r="B107" s="258"/>
      <c r="C107" s="244" t="s">
        <v>79</v>
      </c>
      <c r="D107" s="245">
        <f>E107+G107</f>
        <v>19220.72</v>
      </c>
      <c r="E107" s="245">
        <f>1358+16583.72</f>
        <v>17941.72</v>
      </c>
      <c r="F107" s="245"/>
      <c r="G107" s="245">
        <v>1279</v>
      </c>
      <c r="H107" s="245"/>
      <c r="I107" s="245"/>
      <c r="J107" s="246"/>
      <c r="K107" s="135"/>
    </row>
    <row r="108" spans="1:11" ht="12.75">
      <c r="A108" s="244">
        <v>426913</v>
      </c>
      <c r="B108" s="258"/>
      <c r="C108" s="244" t="s">
        <v>80</v>
      </c>
      <c r="D108" s="245">
        <v>84536</v>
      </c>
      <c r="E108" s="245">
        <v>83536</v>
      </c>
      <c r="F108" s="245"/>
      <c r="G108" s="245">
        <v>1000</v>
      </c>
      <c r="H108" s="245"/>
      <c r="I108" s="245"/>
      <c r="J108" s="246"/>
      <c r="K108" s="135"/>
    </row>
    <row r="109" spans="1:11" ht="12.75">
      <c r="A109" s="247">
        <v>4269</v>
      </c>
      <c r="B109" s="258">
        <f>D109*100/5006532.98</f>
        <v>2.0724265757258626</v>
      </c>
      <c r="C109" s="247" t="s">
        <v>119</v>
      </c>
      <c r="D109" s="248">
        <f>SUM(D107:D108)</f>
        <v>103756.72</v>
      </c>
      <c r="E109" s="248">
        <f>SUM(E107:E108)</f>
        <v>101477.72</v>
      </c>
      <c r="F109" s="248"/>
      <c r="G109" s="248">
        <f>SUM(G107:G108)</f>
        <v>2279</v>
      </c>
      <c r="H109" s="248"/>
      <c r="I109" s="248"/>
      <c r="J109" s="249">
        <v>1530000</v>
      </c>
      <c r="K109" s="135">
        <f>D109*100/J109</f>
        <v>6.781484967320261</v>
      </c>
    </row>
    <row r="110" spans="1:11" ht="12.75">
      <c r="A110" s="244">
        <v>431111</v>
      </c>
      <c r="B110" s="258"/>
      <c r="C110" s="244" t="s">
        <v>82</v>
      </c>
      <c r="D110" s="245"/>
      <c r="E110" s="245"/>
      <c r="F110" s="245"/>
      <c r="G110" s="245"/>
      <c r="H110" s="245"/>
      <c r="I110" s="245"/>
      <c r="J110" s="246"/>
      <c r="K110" s="135"/>
    </row>
    <row r="111" spans="1:11" ht="12.75">
      <c r="A111" s="247">
        <v>4311</v>
      </c>
      <c r="B111" s="258">
        <f>D111*100/5006532.98</f>
        <v>0</v>
      </c>
      <c r="C111" s="247" t="s">
        <v>83</v>
      </c>
      <c r="D111" s="248"/>
      <c r="E111" s="248"/>
      <c r="F111" s="248"/>
      <c r="G111" s="248"/>
      <c r="H111" s="248"/>
      <c r="I111" s="248"/>
      <c r="J111" s="246"/>
      <c r="K111" s="101"/>
    </row>
    <row r="112" spans="1:11" ht="12.75">
      <c r="A112" s="244">
        <v>431211</v>
      </c>
      <c r="B112" s="258"/>
      <c r="C112" s="244" t="s">
        <v>84</v>
      </c>
      <c r="D112" s="245"/>
      <c r="E112" s="245"/>
      <c r="F112" s="245"/>
      <c r="G112" s="245"/>
      <c r="H112" s="245"/>
      <c r="I112" s="245"/>
      <c r="J112" s="246"/>
      <c r="K112" s="101"/>
    </row>
    <row r="113" spans="1:11" ht="12.75">
      <c r="A113" s="247">
        <v>4312</v>
      </c>
      <c r="B113" s="258">
        <f>D113*100/5006532.98</f>
        <v>0</v>
      </c>
      <c r="C113" s="247" t="s">
        <v>84</v>
      </c>
      <c r="D113" s="248"/>
      <c r="E113" s="248"/>
      <c r="F113" s="248"/>
      <c r="G113" s="248"/>
      <c r="H113" s="248"/>
      <c r="I113" s="248"/>
      <c r="J113" s="246"/>
      <c r="K113" s="101"/>
    </row>
    <row r="114" spans="1:11" ht="12.75">
      <c r="A114" s="244">
        <v>444211</v>
      </c>
      <c r="B114" s="258"/>
      <c r="C114" s="244" t="s">
        <v>85</v>
      </c>
      <c r="D114" s="245">
        <v>5347.14</v>
      </c>
      <c r="E114" s="245"/>
      <c r="F114" s="245"/>
      <c r="G114" s="245">
        <v>4986.97</v>
      </c>
      <c r="H114" s="245">
        <v>360.17</v>
      </c>
      <c r="I114" s="245"/>
      <c r="J114" s="246"/>
      <c r="K114" s="101"/>
    </row>
    <row r="115" spans="1:11" ht="12.75">
      <c r="A115" s="247">
        <v>4442</v>
      </c>
      <c r="B115" s="258">
        <f>D115*100/5006532.98</f>
        <v>0.10680325129906564</v>
      </c>
      <c r="C115" s="247" t="s">
        <v>85</v>
      </c>
      <c r="D115" s="248">
        <f>SUM(D114)</f>
        <v>5347.14</v>
      </c>
      <c r="E115" s="248"/>
      <c r="F115" s="248"/>
      <c r="G115" s="248">
        <f>SUM(G114)</f>
        <v>4986.97</v>
      </c>
      <c r="H115" s="248">
        <f>SUM(H114)</f>
        <v>360.17</v>
      </c>
      <c r="I115" s="248"/>
      <c r="J115" s="246"/>
      <c r="K115" s="101"/>
    </row>
    <row r="116" spans="1:11" ht="12.75">
      <c r="A116" s="244">
        <v>482131</v>
      </c>
      <c r="B116" s="258"/>
      <c r="C116" s="244" t="s">
        <v>86</v>
      </c>
      <c r="D116" s="245">
        <v>3142.5</v>
      </c>
      <c r="E116" s="245">
        <v>3142.5</v>
      </c>
      <c r="F116" s="245"/>
      <c r="G116" s="245"/>
      <c r="H116" s="245"/>
      <c r="I116" s="245"/>
      <c r="J116" s="246"/>
      <c r="K116" s="101"/>
    </row>
    <row r="117" spans="1:11" ht="12.75">
      <c r="A117" s="247">
        <v>4821</v>
      </c>
      <c r="B117" s="258">
        <f>D117*100/5006532.98</f>
        <v>0.06276798759847578</v>
      </c>
      <c r="C117" s="247" t="s">
        <v>87</v>
      </c>
      <c r="D117" s="248">
        <f>SUM(D116)</f>
        <v>3142.5</v>
      </c>
      <c r="E117" s="248">
        <f>SUM(E116)</f>
        <v>3142.5</v>
      </c>
      <c r="F117" s="248"/>
      <c r="G117" s="248"/>
      <c r="H117" s="248"/>
      <c r="I117" s="248"/>
      <c r="J117" s="246"/>
      <c r="K117" s="101"/>
    </row>
    <row r="118" spans="1:11" ht="12.75">
      <c r="A118" s="244">
        <v>482211</v>
      </c>
      <c r="B118" s="258"/>
      <c r="C118" s="244" t="s">
        <v>88</v>
      </c>
      <c r="D118" s="245">
        <v>0</v>
      </c>
      <c r="E118" s="245"/>
      <c r="F118" s="245"/>
      <c r="G118" s="245"/>
      <c r="H118" s="245"/>
      <c r="I118" s="245"/>
      <c r="J118" s="246"/>
      <c r="K118" s="101"/>
    </row>
    <row r="119" spans="1:11" ht="12.75">
      <c r="A119" s="241">
        <v>482241</v>
      </c>
      <c r="B119" s="258"/>
      <c r="C119" s="241" t="s">
        <v>91</v>
      </c>
      <c r="D119" s="243">
        <v>43549</v>
      </c>
      <c r="E119" s="243">
        <v>40399</v>
      </c>
      <c r="F119" s="243"/>
      <c r="G119" s="243"/>
      <c r="H119" s="243">
        <v>3150</v>
      </c>
      <c r="I119" s="243"/>
      <c r="J119" s="246"/>
      <c r="K119" s="101"/>
    </row>
    <row r="120" spans="1:11" ht="12.75">
      <c r="A120" s="244">
        <v>482251</v>
      </c>
      <c r="B120" s="258"/>
      <c r="C120" s="244" t="s">
        <v>89</v>
      </c>
      <c r="D120" s="245">
        <v>96783</v>
      </c>
      <c r="E120" s="245">
        <v>6070</v>
      </c>
      <c r="F120" s="245"/>
      <c r="G120" s="245">
        <v>90713</v>
      </c>
      <c r="H120" s="245"/>
      <c r="I120" s="245"/>
      <c r="J120" s="246"/>
      <c r="K120" s="101"/>
    </row>
    <row r="121" spans="1:11" ht="12.75">
      <c r="A121" s="247">
        <v>4822</v>
      </c>
      <c r="B121" s="258">
        <f>D121*100/5006532.98</f>
        <v>2.8029776406266675</v>
      </c>
      <c r="C121" s="247" t="s">
        <v>90</v>
      </c>
      <c r="D121" s="248">
        <f>SUM(D118:D120)</f>
        <v>140332</v>
      </c>
      <c r="E121" s="248">
        <f>SUM(E118:E120)</f>
        <v>46469</v>
      </c>
      <c r="F121" s="248"/>
      <c r="G121" s="248">
        <f>SUM(G118:G120)</f>
        <v>90713</v>
      </c>
      <c r="H121" s="248">
        <f>SUM(H118:H120)</f>
        <v>3150</v>
      </c>
      <c r="I121" s="248"/>
      <c r="J121" s="246"/>
      <c r="K121" s="101"/>
    </row>
    <row r="122" spans="1:11" ht="12.75">
      <c r="A122" s="247"/>
      <c r="B122" s="247"/>
      <c r="C122" s="247" t="s">
        <v>187</v>
      </c>
      <c r="D122" s="248"/>
      <c r="E122" s="248"/>
      <c r="F122" s="248"/>
      <c r="G122" s="248"/>
      <c r="H122" s="248"/>
      <c r="I122" s="248"/>
      <c r="J122" s="249">
        <v>2200000</v>
      </c>
      <c r="K122" s="101">
        <f>D122*100/J122</f>
        <v>0</v>
      </c>
    </row>
    <row r="123" spans="1:11" s="97" customFormat="1" ht="12.75">
      <c r="A123" s="247"/>
      <c r="B123" s="263">
        <f>D123*100/107362902.49</f>
        <v>1.9922079511581952</v>
      </c>
      <c r="C123" s="247" t="s">
        <v>180</v>
      </c>
      <c r="D123" s="248">
        <f aca="true" t="shared" si="3" ref="D123:I123">D124+D125+D126+D127+D128</f>
        <v>2138892.28</v>
      </c>
      <c r="E123" s="248">
        <f t="shared" si="3"/>
        <v>2094060.63</v>
      </c>
      <c r="F123" s="248">
        <f t="shared" si="3"/>
        <v>0</v>
      </c>
      <c r="G123" s="248">
        <f t="shared" si="3"/>
        <v>700</v>
      </c>
      <c r="H123" s="248">
        <f t="shared" si="3"/>
        <v>44131.65</v>
      </c>
      <c r="I123" s="248">
        <f t="shared" si="3"/>
        <v>0</v>
      </c>
      <c r="J123" s="248">
        <v>14025000</v>
      </c>
      <c r="K123" s="106">
        <f>D123*100/J123</f>
        <v>15.250568841354722</v>
      </c>
    </row>
    <row r="124" spans="1:11" ht="12.75">
      <c r="A124" s="244">
        <v>421211</v>
      </c>
      <c r="B124" s="258">
        <f>D124*100/2138892.28</f>
        <v>31.25795937699116</v>
      </c>
      <c r="C124" s="244" t="s">
        <v>23</v>
      </c>
      <c r="D124" s="245">
        <v>668574.08</v>
      </c>
      <c r="E124" s="245">
        <v>624442.43</v>
      </c>
      <c r="F124" s="245"/>
      <c r="G124" s="245"/>
      <c r="H124" s="245">
        <v>44131.65</v>
      </c>
      <c r="I124" s="245"/>
      <c r="J124" s="246">
        <v>3000000</v>
      </c>
      <c r="K124" s="135">
        <f>D124*100/J124</f>
        <v>22.285802666666665</v>
      </c>
    </row>
    <row r="125" spans="1:11" ht="12.75">
      <c r="A125" s="244">
        <v>421225</v>
      </c>
      <c r="B125" s="258">
        <f>D125*100/2138892.28</f>
        <v>1.931756937287183</v>
      </c>
      <c r="C125" s="244" t="s">
        <v>24</v>
      </c>
      <c r="D125" s="245">
        <v>41318.2</v>
      </c>
      <c r="E125" s="245">
        <v>41318.2</v>
      </c>
      <c r="F125" s="245"/>
      <c r="G125" s="245"/>
      <c r="H125" s="245"/>
      <c r="I125" s="245"/>
      <c r="J125" s="246">
        <v>4000000</v>
      </c>
      <c r="K125" s="135">
        <f>D125*100/J125</f>
        <v>1.0329549999999998</v>
      </c>
    </row>
    <row r="126" spans="1:11" ht="12.75">
      <c r="A126" s="244">
        <v>426411</v>
      </c>
      <c r="B126" s="258">
        <f>D126*100/2138892.28</f>
        <v>57.45964916007832</v>
      </c>
      <c r="C126" s="244" t="s">
        <v>66</v>
      </c>
      <c r="D126" s="245">
        <v>1229000</v>
      </c>
      <c r="E126" s="245">
        <v>1228300</v>
      </c>
      <c r="F126" s="245"/>
      <c r="G126" s="245">
        <v>700</v>
      </c>
      <c r="H126" s="245"/>
      <c r="I126" s="245"/>
      <c r="J126" s="246"/>
      <c r="K126" s="135"/>
    </row>
    <row r="127" spans="1:11" ht="12.75">
      <c r="A127" s="244">
        <v>426412</v>
      </c>
      <c r="B127" s="258">
        <f>D127*100/2138892.28</f>
        <v>9.35063452564334</v>
      </c>
      <c r="C127" s="244" t="s">
        <v>67</v>
      </c>
      <c r="D127" s="245">
        <v>200000</v>
      </c>
      <c r="E127" s="245">
        <v>200000</v>
      </c>
      <c r="F127" s="245"/>
      <c r="G127" s="245"/>
      <c r="H127" s="245"/>
      <c r="I127" s="245"/>
      <c r="J127" s="246"/>
      <c r="K127" s="101"/>
    </row>
    <row r="128" spans="1:11" ht="12.75">
      <c r="A128" s="244">
        <v>426413</v>
      </c>
      <c r="B128" s="258">
        <f>D128*100/2138892.28</f>
        <v>0</v>
      </c>
      <c r="C128" s="244" t="s">
        <v>68</v>
      </c>
      <c r="D128" s="245"/>
      <c r="E128" s="245"/>
      <c r="F128" s="245"/>
      <c r="G128" s="245"/>
      <c r="H128" s="245"/>
      <c r="I128" s="245"/>
      <c r="J128" s="246"/>
      <c r="K128" s="101"/>
    </row>
    <row r="129" spans="1:11" ht="12.75">
      <c r="A129" s="264"/>
      <c r="B129" s="263"/>
      <c r="C129" s="264" t="s">
        <v>181</v>
      </c>
      <c r="D129" s="245"/>
      <c r="E129" s="245"/>
      <c r="F129" s="245"/>
      <c r="G129" s="245"/>
      <c r="H129" s="245"/>
      <c r="I129" s="245"/>
      <c r="J129" s="246"/>
      <c r="K129" s="101"/>
    </row>
    <row r="130" spans="1:11" s="97" customFormat="1" ht="12.75">
      <c r="A130" s="264"/>
      <c r="B130" s="263">
        <f>D130*100/107362902.49</f>
        <v>1.4428386659389019</v>
      </c>
      <c r="C130" s="264" t="s">
        <v>182</v>
      </c>
      <c r="D130" s="245">
        <f>D131+D132+D137+D138</f>
        <v>1549073.47</v>
      </c>
      <c r="E130" s="245">
        <f>E131+E132+E137+E138</f>
        <v>1355641.14</v>
      </c>
      <c r="F130" s="245">
        <f>F131+F132+F137+F138</f>
        <v>0</v>
      </c>
      <c r="G130" s="245">
        <f>G131+G132+G137+G138</f>
        <v>193432.33000000002</v>
      </c>
      <c r="H130" s="245">
        <f>H131+H132+H137+H138</f>
        <v>0</v>
      </c>
      <c r="I130" s="245"/>
      <c r="J130" s="246">
        <v>11156000</v>
      </c>
      <c r="K130" s="106">
        <f>D130*100/J130</f>
        <v>13.885563553244891</v>
      </c>
    </row>
    <row r="131" spans="1:11" ht="12.75">
      <c r="A131" s="244">
        <v>4267111</v>
      </c>
      <c r="B131" s="246">
        <f>D131*100/1549073.47</f>
        <v>9.038112311096516</v>
      </c>
      <c r="C131" s="244" t="s">
        <v>70</v>
      </c>
      <c r="D131" s="245">
        <v>140007</v>
      </c>
      <c r="E131" s="245">
        <v>140007</v>
      </c>
      <c r="F131" s="245"/>
      <c r="G131" s="245"/>
      <c r="H131" s="245"/>
      <c r="I131" s="245"/>
      <c r="J131" s="246"/>
      <c r="K131" s="101"/>
    </row>
    <row r="132" spans="1:11" ht="12.75">
      <c r="A132" s="244">
        <v>4267112</v>
      </c>
      <c r="B132" s="246">
        <f>D132*100/1549073.47</f>
        <v>28.165345185338435</v>
      </c>
      <c r="C132" s="244" t="s">
        <v>71</v>
      </c>
      <c r="D132" s="245">
        <v>436301.89</v>
      </c>
      <c r="E132" s="245">
        <v>383439.07</v>
      </c>
      <c r="F132" s="245"/>
      <c r="G132" s="245">
        <v>52862.82</v>
      </c>
      <c r="H132" s="245"/>
      <c r="I132" s="245"/>
      <c r="J132" s="246"/>
      <c r="K132" s="101"/>
    </row>
    <row r="133" spans="1:11" ht="12.75">
      <c r="A133" s="254"/>
      <c r="B133" s="253"/>
      <c r="C133" s="254"/>
      <c r="D133" s="262"/>
      <c r="E133" s="262"/>
      <c r="F133" s="262"/>
      <c r="G133" s="265"/>
      <c r="H133" s="262"/>
      <c r="I133" s="262"/>
      <c r="J133" s="253"/>
      <c r="K133" s="122"/>
    </row>
    <row r="134" spans="1:11" ht="12.75">
      <c r="A134" s="254"/>
      <c r="B134" s="253"/>
      <c r="C134" s="254"/>
      <c r="D134" s="262"/>
      <c r="E134" s="262"/>
      <c r="F134" s="262"/>
      <c r="G134" s="265"/>
      <c r="H134" s="262"/>
      <c r="I134" s="262"/>
      <c r="J134" s="253"/>
      <c r="K134" s="122"/>
    </row>
    <row r="135" spans="1:11" ht="12.75">
      <c r="A135" s="238" t="s">
        <v>225</v>
      </c>
      <c r="B135" s="238"/>
      <c r="C135" s="238"/>
      <c r="D135" s="238"/>
      <c r="E135" s="238"/>
      <c r="F135" s="235"/>
      <c r="G135" s="266"/>
      <c r="H135" s="252"/>
      <c r="I135" s="252"/>
      <c r="J135" s="238" t="s">
        <v>223</v>
      </c>
      <c r="K135" s="122" t="s">
        <v>188</v>
      </c>
    </row>
    <row r="136" spans="1:11" ht="33.75">
      <c r="A136" s="239" t="s">
        <v>0</v>
      </c>
      <c r="B136" s="239" t="s">
        <v>208</v>
      </c>
      <c r="C136" s="239" t="s">
        <v>1</v>
      </c>
      <c r="D136" s="239" t="s">
        <v>2</v>
      </c>
      <c r="E136" s="239" t="s">
        <v>3</v>
      </c>
      <c r="F136" s="240" t="s">
        <v>4</v>
      </c>
      <c r="G136" s="239" t="s">
        <v>5</v>
      </c>
      <c r="H136" s="239" t="s">
        <v>6</v>
      </c>
      <c r="I136" s="239" t="s">
        <v>7</v>
      </c>
      <c r="J136" s="267" t="s">
        <v>175</v>
      </c>
      <c r="K136" s="181" t="s">
        <v>170</v>
      </c>
    </row>
    <row r="137" spans="1:11" ht="12.75">
      <c r="A137" s="244">
        <v>4267113</v>
      </c>
      <c r="B137" s="246">
        <f>D137*100/1549073.47</f>
        <v>9.07442498514935</v>
      </c>
      <c r="C137" s="244" t="s">
        <v>72</v>
      </c>
      <c r="D137" s="245">
        <v>140569.51</v>
      </c>
      <c r="E137" s="245"/>
      <c r="F137" s="245"/>
      <c r="G137" s="245">
        <v>140569.51</v>
      </c>
      <c r="H137" s="245"/>
      <c r="I137" s="245"/>
      <c r="J137" s="246"/>
      <c r="K137" s="101"/>
    </row>
    <row r="138" spans="1:11" ht="12.75">
      <c r="A138" s="244">
        <v>426721</v>
      </c>
      <c r="B138" s="246">
        <f>D138*100/1549073.47</f>
        <v>53.7221175184157</v>
      </c>
      <c r="C138" s="244" t="s">
        <v>73</v>
      </c>
      <c r="D138" s="245">
        <v>832195.07</v>
      </c>
      <c r="E138" s="245">
        <v>832195.07</v>
      </c>
      <c r="F138" s="245"/>
      <c r="G138" s="245"/>
      <c r="H138" s="245"/>
      <c r="I138" s="245"/>
      <c r="J138" s="246"/>
      <c r="K138" s="101"/>
    </row>
    <row r="139" spans="1:11" s="97" customFormat="1" ht="12.75">
      <c r="A139" s="244"/>
      <c r="B139" s="249">
        <f>D139*100/D166</f>
        <v>1.4166251607641311</v>
      </c>
      <c r="C139" s="264" t="s">
        <v>183</v>
      </c>
      <c r="D139" s="245">
        <f>D140+D141</f>
        <v>1520929.8900000001</v>
      </c>
      <c r="E139" s="245">
        <f>E140+E141</f>
        <v>1520929.8900000001</v>
      </c>
      <c r="F139" s="245">
        <f>F140+F141</f>
        <v>0</v>
      </c>
      <c r="G139" s="245">
        <f>G140+G141</f>
        <v>0</v>
      </c>
      <c r="H139" s="245"/>
      <c r="I139" s="245"/>
      <c r="J139" s="246">
        <v>14155000</v>
      </c>
      <c r="K139" s="106">
        <f>D139*100/J139</f>
        <v>10.744824373013069</v>
      </c>
    </row>
    <row r="140" spans="1:11" ht="12.75">
      <c r="A140" s="244">
        <v>4267510</v>
      </c>
      <c r="B140" s="246">
        <f>D140*100/1520929.89</f>
        <v>75.19485727248086</v>
      </c>
      <c r="C140" s="244" t="s">
        <v>75</v>
      </c>
      <c r="D140" s="245">
        <v>1143661.06</v>
      </c>
      <c r="E140" s="245">
        <v>1143661.06</v>
      </c>
      <c r="F140" s="245"/>
      <c r="G140" s="245"/>
      <c r="H140" s="245"/>
      <c r="I140" s="245"/>
      <c r="J140" s="246"/>
      <c r="K140" s="101"/>
    </row>
    <row r="141" spans="1:11" ht="12.75">
      <c r="A141" s="244">
        <v>4267511</v>
      </c>
      <c r="B141" s="246">
        <f>D141*100/1520929.89</f>
        <v>24.80514272751915</v>
      </c>
      <c r="C141" s="244" t="s">
        <v>74</v>
      </c>
      <c r="D141" s="245">
        <v>377268.83</v>
      </c>
      <c r="E141" s="245">
        <v>377268.83</v>
      </c>
      <c r="F141" s="245"/>
      <c r="G141" s="245"/>
      <c r="H141" s="245"/>
      <c r="I141" s="245"/>
      <c r="J141" s="246"/>
      <c r="K141" s="101"/>
    </row>
    <row r="142" spans="1:11" ht="12.75">
      <c r="A142" s="244"/>
      <c r="B142" s="249">
        <f>D142*100/D166</f>
        <v>98.70296679047988</v>
      </c>
      <c r="C142" s="247" t="s">
        <v>134</v>
      </c>
      <c r="D142" s="248">
        <f aca="true" t="shared" si="4" ref="D142:I142">D139+D130+D123+D26+D21+D18+D25</f>
        <v>105970369.99000001</v>
      </c>
      <c r="E142" s="248">
        <f t="shared" si="4"/>
        <v>97678691.37</v>
      </c>
      <c r="F142" s="248">
        <f t="shared" si="4"/>
        <v>1633750.0000000002</v>
      </c>
      <c r="G142" s="248">
        <f t="shared" si="4"/>
        <v>4973233.119999999</v>
      </c>
      <c r="H142" s="248">
        <f t="shared" si="4"/>
        <v>244901.87000000002</v>
      </c>
      <c r="I142" s="248">
        <f t="shared" si="4"/>
        <v>1439793.63</v>
      </c>
      <c r="J142" s="248">
        <f>J139+J130+J123+J26+J21+J18</f>
        <v>279136725</v>
      </c>
      <c r="K142" s="138">
        <f>D142*100/J142</f>
        <v>37.96360725733957</v>
      </c>
    </row>
    <row r="143" spans="1:11" ht="12.75">
      <c r="A143" s="254"/>
      <c r="B143" s="254"/>
      <c r="C143" s="251"/>
      <c r="D143" s="252"/>
      <c r="E143" s="252"/>
      <c r="F143" s="252"/>
      <c r="G143" s="252"/>
      <c r="H143" s="252"/>
      <c r="I143" s="252"/>
      <c r="J143" s="253"/>
      <c r="K143" s="122"/>
    </row>
    <row r="144" spans="1:11" ht="12.75">
      <c r="A144" s="254"/>
      <c r="B144" s="254"/>
      <c r="C144" s="251" t="s">
        <v>195</v>
      </c>
      <c r="D144" s="252"/>
      <c r="E144" s="252"/>
      <c r="F144" s="252"/>
      <c r="G144" s="252"/>
      <c r="H144" s="252"/>
      <c r="I144" s="252"/>
      <c r="J144" s="252"/>
      <c r="K144" s="122"/>
    </row>
    <row r="145" spans="1:11" ht="33.75">
      <c r="A145" s="239" t="s">
        <v>0</v>
      </c>
      <c r="B145" s="239" t="s">
        <v>208</v>
      </c>
      <c r="C145" s="239" t="s">
        <v>1</v>
      </c>
      <c r="D145" s="239" t="s">
        <v>2</v>
      </c>
      <c r="E145" s="239" t="s">
        <v>3</v>
      </c>
      <c r="F145" s="240" t="s">
        <v>4</v>
      </c>
      <c r="G145" s="239" t="s">
        <v>5</v>
      </c>
      <c r="H145" s="239" t="s">
        <v>6</v>
      </c>
      <c r="I145" s="239" t="s">
        <v>7</v>
      </c>
      <c r="J145" s="267" t="s">
        <v>175</v>
      </c>
      <c r="K145" s="181" t="s">
        <v>170</v>
      </c>
    </row>
    <row r="146" spans="1:11" ht="12.75">
      <c r="A146" s="268">
        <v>512111</v>
      </c>
      <c r="B146" s="268"/>
      <c r="C146" s="269" t="s">
        <v>124</v>
      </c>
      <c r="D146" s="270">
        <v>1376602.5</v>
      </c>
      <c r="E146" s="271"/>
      <c r="F146" s="272"/>
      <c r="G146" s="243">
        <v>1376602.5</v>
      </c>
      <c r="H146" s="271"/>
      <c r="I146" s="271"/>
      <c r="J146" s="242"/>
      <c r="K146" s="159"/>
    </row>
    <row r="147" spans="1:11" ht="12.75">
      <c r="A147" s="273">
        <v>5121</v>
      </c>
      <c r="B147" s="273"/>
      <c r="C147" s="274" t="s">
        <v>125</v>
      </c>
      <c r="D147" s="275">
        <f>SUM(D146)</f>
        <v>1376602.5</v>
      </c>
      <c r="E147" s="276"/>
      <c r="F147" s="248"/>
      <c r="G147" s="248">
        <f>SUM(G146)</f>
        <v>1376602.5</v>
      </c>
      <c r="H147" s="276"/>
      <c r="I147" s="276"/>
      <c r="J147" s="249">
        <v>1400000</v>
      </c>
      <c r="K147" s="106">
        <f>D147*100/J147</f>
        <v>98.32875</v>
      </c>
    </row>
    <row r="148" spans="1:11" ht="12.75">
      <c r="A148" s="244">
        <v>512211</v>
      </c>
      <c r="B148" s="244"/>
      <c r="C148" s="244" t="s">
        <v>120</v>
      </c>
      <c r="D148" s="245">
        <v>15930</v>
      </c>
      <c r="E148" s="245"/>
      <c r="F148" s="245"/>
      <c r="G148" s="245">
        <v>15930</v>
      </c>
      <c r="H148" s="245"/>
      <c r="I148" s="245"/>
      <c r="J148" s="246"/>
      <c r="K148" s="101"/>
    </row>
    <row r="149" spans="1:11" ht="12.75">
      <c r="A149" s="244">
        <v>512221</v>
      </c>
      <c r="B149" s="244"/>
      <c r="C149" s="244" t="s">
        <v>56</v>
      </c>
      <c r="D149" s="245">
        <v>0</v>
      </c>
      <c r="E149" s="245"/>
      <c r="F149" s="245"/>
      <c r="G149" s="245"/>
      <c r="H149" s="245"/>
      <c r="I149" s="245"/>
      <c r="J149" s="246"/>
      <c r="K149" s="101"/>
    </row>
    <row r="150" spans="1:11" ht="12.75">
      <c r="A150" s="244">
        <v>512222</v>
      </c>
      <c r="B150" s="244"/>
      <c r="C150" s="244" t="s">
        <v>121</v>
      </c>
      <c r="D150" s="245">
        <v>0</v>
      </c>
      <c r="E150" s="245"/>
      <c r="F150" s="245"/>
      <c r="G150" s="245"/>
      <c r="H150" s="245"/>
      <c r="I150" s="245"/>
      <c r="J150" s="246"/>
      <c r="K150" s="101"/>
    </row>
    <row r="151" spans="1:11" ht="12.75">
      <c r="A151" s="244">
        <v>512251</v>
      </c>
      <c r="B151" s="244"/>
      <c r="C151" s="244" t="s">
        <v>122</v>
      </c>
      <c r="D151" s="245">
        <v>0</v>
      </c>
      <c r="E151" s="245"/>
      <c r="F151" s="245"/>
      <c r="G151" s="245"/>
      <c r="H151" s="245"/>
      <c r="I151" s="245"/>
      <c r="J151" s="246"/>
      <c r="K151" s="101"/>
    </row>
    <row r="152" spans="1:11" ht="12.75">
      <c r="A152" s="247">
        <v>5122</v>
      </c>
      <c r="B152" s="247"/>
      <c r="C152" s="247" t="s">
        <v>123</v>
      </c>
      <c r="D152" s="248">
        <f>SUM(D148:D151)</f>
        <v>15930</v>
      </c>
      <c r="E152" s="248"/>
      <c r="F152" s="248"/>
      <c r="G152" s="248">
        <f>SUM(G148:G151)</f>
        <v>15930</v>
      </c>
      <c r="H152" s="248"/>
      <c r="I152" s="248"/>
      <c r="J152" s="246"/>
      <c r="K152" s="101"/>
    </row>
    <row r="153" spans="1:11" ht="12.75">
      <c r="A153" s="244">
        <v>512511</v>
      </c>
      <c r="B153" s="244"/>
      <c r="C153" s="244" t="s">
        <v>126</v>
      </c>
      <c r="D153" s="245"/>
      <c r="E153" s="245"/>
      <c r="F153" s="245"/>
      <c r="G153" s="245"/>
      <c r="H153" s="245"/>
      <c r="I153" s="245"/>
      <c r="J153" s="246"/>
      <c r="K153" s="101"/>
    </row>
    <row r="154" spans="1:11" ht="12.75">
      <c r="A154" s="244">
        <v>512521</v>
      </c>
      <c r="B154" s="244"/>
      <c r="C154" s="244" t="s">
        <v>127</v>
      </c>
      <c r="D154" s="245"/>
      <c r="E154" s="245"/>
      <c r="F154" s="245"/>
      <c r="G154" s="245"/>
      <c r="H154" s="245"/>
      <c r="I154" s="245"/>
      <c r="J154" s="246"/>
      <c r="K154" s="101"/>
    </row>
    <row r="155" spans="1:11" ht="12.75">
      <c r="A155" s="247">
        <v>5125</v>
      </c>
      <c r="B155" s="247"/>
      <c r="C155" s="247" t="s">
        <v>128</v>
      </c>
      <c r="D155" s="248"/>
      <c r="E155" s="248"/>
      <c r="F155" s="248"/>
      <c r="G155" s="248"/>
      <c r="H155" s="248"/>
      <c r="I155" s="248"/>
      <c r="J155" s="246"/>
      <c r="K155" s="101"/>
    </row>
    <row r="156" spans="1:11" s="97" customFormat="1" ht="12.75">
      <c r="A156" s="251"/>
      <c r="B156" s="263">
        <f>D156*100/D166</f>
        <v>1.2970332095201162</v>
      </c>
      <c r="C156" s="247" t="s">
        <v>135</v>
      </c>
      <c r="D156" s="248">
        <f>SUM(D152,D147)</f>
        <v>1392532.5</v>
      </c>
      <c r="E156" s="248"/>
      <c r="F156" s="248"/>
      <c r="G156" s="248">
        <f>G152+G147</f>
        <v>1392532.5</v>
      </c>
      <c r="H156" s="248">
        <f>H152+H147</f>
        <v>0</v>
      </c>
      <c r="I156" s="248">
        <f>I152+I147</f>
        <v>0</v>
      </c>
      <c r="J156" s="248">
        <f>J152+J147</f>
        <v>1400000</v>
      </c>
      <c r="K156" s="101"/>
    </row>
    <row r="157" spans="1:11" ht="12.75">
      <c r="A157" s="254"/>
      <c r="B157" s="254"/>
      <c r="C157" s="254"/>
      <c r="D157" s="262"/>
      <c r="E157" s="262"/>
      <c r="F157" s="262"/>
      <c r="G157" s="262"/>
      <c r="H157" s="262"/>
      <c r="I157" s="262"/>
      <c r="J157" s="253"/>
      <c r="K157" s="122"/>
    </row>
    <row r="158" spans="1:11" s="97" customFormat="1" ht="12.75">
      <c r="A158" s="254"/>
      <c r="B158" s="254"/>
      <c r="C158" s="247" t="s">
        <v>167</v>
      </c>
      <c r="D158" s="248">
        <f aca="true" t="shared" si="5" ref="D158:J158">D142+D156</f>
        <v>107362902.49000001</v>
      </c>
      <c r="E158" s="248">
        <f t="shared" si="5"/>
        <v>97678691.37</v>
      </c>
      <c r="F158" s="248">
        <f t="shared" si="5"/>
        <v>1633750.0000000002</v>
      </c>
      <c r="G158" s="248">
        <f t="shared" si="5"/>
        <v>6365765.619999999</v>
      </c>
      <c r="H158" s="248">
        <f t="shared" si="5"/>
        <v>244901.87000000002</v>
      </c>
      <c r="I158" s="248">
        <f t="shared" si="5"/>
        <v>1439793.63</v>
      </c>
      <c r="J158" s="248">
        <f t="shared" si="5"/>
        <v>280536725</v>
      </c>
      <c r="K158" s="106">
        <f>D158*100/J158</f>
        <v>38.27053391672695</v>
      </c>
    </row>
    <row r="159" spans="1:11" ht="12.75">
      <c r="A159" s="277"/>
      <c r="B159" s="277"/>
      <c r="C159" s="247" t="s">
        <v>189</v>
      </c>
      <c r="D159" s="278"/>
      <c r="E159" s="244"/>
      <c r="F159" s="244"/>
      <c r="G159" s="246"/>
      <c r="H159" s="278"/>
      <c r="I159" s="278"/>
      <c r="J159" s="246">
        <v>12723275</v>
      </c>
      <c r="K159" s="157"/>
    </row>
    <row r="160" spans="1:11" ht="12.75">
      <c r="A160" s="237"/>
      <c r="B160" s="237"/>
      <c r="C160" s="247" t="s">
        <v>190</v>
      </c>
      <c r="D160" s="278"/>
      <c r="E160" s="244"/>
      <c r="F160" s="244"/>
      <c r="G160" s="246"/>
      <c r="H160" s="278"/>
      <c r="I160" s="278"/>
      <c r="J160" s="246">
        <v>4000000</v>
      </c>
      <c r="K160" s="157"/>
    </row>
    <row r="161" spans="1:11" ht="12.75">
      <c r="A161" s="237"/>
      <c r="B161" s="237"/>
      <c r="C161" s="247" t="s">
        <v>191</v>
      </c>
      <c r="D161" s="278"/>
      <c r="E161" s="244"/>
      <c r="F161" s="244"/>
      <c r="G161" s="246"/>
      <c r="H161" s="278"/>
      <c r="I161" s="278"/>
      <c r="J161" s="246">
        <v>1437000</v>
      </c>
      <c r="K161" s="157"/>
    </row>
    <row r="162" spans="1:11" ht="12.75">
      <c r="A162" s="237"/>
      <c r="B162" s="237"/>
      <c r="C162" s="247" t="s">
        <v>192</v>
      </c>
      <c r="D162" s="278"/>
      <c r="E162" s="244"/>
      <c r="F162" s="244"/>
      <c r="G162" s="246"/>
      <c r="H162" s="278"/>
      <c r="I162" s="278"/>
      <c r="J162" s="246">
        <v>2686275</v>
      </c>
      <c r="K162" s="157"/>
    </row>
    <row r="163" spans="1:11" ht="12.75">
      <c r="A163" s="237"/>
      <c r="B163" s="237"/>
      <c r="C163" s="247" t="s">
        <v>193</v>
      </c>
      <c r="D163" s="278"/>
      <c r="E163" s="244"/>
      <c r="F163" s="244"/>
      <c r="G163" s="246"/>
      <c r="H163" s="278"/>
      <c r="I163" s="278"/>
      <c r="J163" s="246">
        <v>4600000</v>
      </c>
      <c r="K163" s="157"/>
    </row>
    <row r="164" spans="1:11" ht="12.75">
      <c r="A164" s="237"/>
      <c r="B164" s="237"/>
      <c r="C164" s="264" t="s">
        <v>194</v>
      </c>
      <c r="D164" s="279"/>
      <c r="E164" s="264"/>
      <c r="F164" s="264"/>
      <c r="G164" s="249"/>
      <c r="H164" s="279"/>
      <c r="I164" s="279"/>
      <c r="J164" s="249">
        <f>SUM(J160:J163)</f>
        <v>12723275</v>
      </c>
      <c r="K164" s="157"/>
    </row>
    <row r="165" spans="1:11" ht="12.75">
      <c r="A165" s="237"/>
      <c r="B165" s="237"/>
      <c r="C165" s="237"/>
      <c r="D165" s="237"/>
      <c r="E165" s="254"/>
      <c r="F165" s="254"/>
      <c r="G165" s="253"/>
      <c r="H165" s="237"/>
      <c r="I165" s="237"/>
      <c r="J165" s="280"/>
      <c r="K165" s="145"/>
    </row>
    <row r="166" spans="1:11" s="97" customFormat="1" ht="12.75">
      <c r="A166" s="237"/>
      <c r="B166" s="237"/>
      <c r="C166" s="264" t="s">
        <v>167</v>
      </c>
      <c r="D166" s="281">
        <f aca="true" t="shared" si="6" ref="D166:I166">D158</f>
        <v>107362902.49000001</v>
      </c>
      <c r="E166" s="281">
        <f t="shared" si="6"/>
        <v>97678691.37</v>
      </c>
      <c r="F166" s="281">
        <f t="shared" si="6"/>
        <v>1633750.0000000002</v>
      </c>
      <c r="G166" s="281">
        <f t="shared" si="6"/>
        <v>6365765.619999999</v>
      </c>
      <c r="H166" s="281">
        <f t="shared" si="6"/>
        <v>244901.87000000002</v>
      </c>
      <c r="I166" s="281">
        <f t="shared" si="6"/>
        <v>1439793.63</v>
      </c>
      <c r="J166" s="282">
        <f>J158+J164</f>
        <v>293260000</v>
      </c>
      <c r="K166" s="189">
        <f>D166*100/J166</f>
        <v>36.610142020732454</v>
      </c>
    </row>
    <row r="167" spans="1:11" ht="12.75">
      <c r="A167" s="237"/>
      <c r="B167" s="237"/>
      <c r="C167" s="237"/>
      <c r="D167" s="237"/>
      <c r="E167" s="254"/>
      <c r="F167" s="254"/>
      <c r="G167" s="253"/>
      <c r="H167" s="237"/>
      <c r="I167" s="237"/>
      <c r="J167" s="237"/>
      <c r="K167" s="145"/>
    </row>
    <row r="168" spans="1:11" ht="12.75">
      <c r="A168" s="237"/>
      <c r="B168" s="237"/>
      <c r="C168" s="237"/>
      <c r="D168" s="237"/>
      <c r="E168" s="254"/>
      <c r="F168" s="254"/>
      <c r="G168" s="253"/>
      <c r="H168" s="237"/>
      <c r="I168" s="237"/>
      <c r="J168" s="277"/>
      <c r="K168" s="18"/>
    </row>
    <row r="169" spans="1:11" ht="12.75">
      <c r="A169" s="237"/>
      <c r="B169" s="237"/>
      <c r="C169" s="279" t="s">
        <v>168</v>
      </c>
      <c r="D169" s="283">
        <f aca="true" t="shared" si="7" ref="D169:I169">D711-D158</f>
        <v>15545285.779999986</v>
      </c>
      <c r="E169" s="283">
        <f t="shared" si="7"/>
        <v>6466221.519999996</v>
      </c>
      <c r="F169" s="283">
        <f t="shared" si="7"/>
        <v>68319.99999999977</v>
      </c>
      <c r="G169" s="283">
        <f t="shared" si="7"/>
        <v>9288610.32</v>
      </c>
      <c r="H169" s="283">
        <f t="shared" si="7"/>
        <v>-85656.73000000001</v>
      </c>
      <c r="I169" s="283">
        <f t="shared" si="7"/>
        <v>-192209.32999999984</v>
      </c>
      <c r="J169" s="284"/>
      <c r="K169" s="18"/>
    </row>
    <row r="170" spans="1:11" ht="12.75">
      <c r="A170" s="237"/>
      <c r="B170" s="237"/>
      <c r="C170" s="237"/>
      <c r="D170" s="237"/>
      <c r="E170" s="254"/>
      <c r="F170" s="254"/>
      <c r="G170" s="253"/>
      <c r="H170" s="237"/>
      <c r="I170" s="237"/>
      <c r="J170" s="277"/>
      <c r="K170" s="18"/>
    </row>
    <row r="171" spans="1:10" ht="12.75">
      <c r="A171" s="237"/>
      <c r="B171" s="237"/>
      <c r="C171" s="237"/>
      <c r="D171" s="237"/>
      <c r="E171" s="254"/>
      <c r="F171" s="254"/>
      <c r="G171" s="253"/>
      <c r="H171" s="237"/>
      <c r="I171" s="237"/>
      <c r="J171" s="237"/>
    </row>
    <row r="172" spans="1:10" ht="12.75">
      <c r="A172" s="237"/>
      <c r="B172" s="237"/>
      <c r="C172" s="237"/>
      <c r="D172" s="237"/>
      <c r="E172" s="254"/>
      <c r="F172" s="254"/>
      <c r="G172" s="253"/>
      <c r="H172" s="237"/>
      <c r="I172" s="237"/>
      <c r="J172" s="237"/>
    </row>
    <row r="173" spans="1:10" ht="12.75">
      <c r="A173" s="237"/>
      <c r="B173" s="237"/>
      <c r="C173" s="237"/>
      <c r="D173" s="237"/>
      <c r="E173" s="254"/>
      <c r="F173" s="254"/>
      <c r="G173" s="253"/>
      <c r="H173" s="237"/>
      <c r="I173" s="237"/>
      <c r="J173" s="237"/>
    </row>
    <row r="174" spans="1:10" ht="12.75">
      <c r="A174" s="237"/>
      <c r="B174" s="237"/>
      <c r="C174" s="237"/>
      <c r="D174" s="237"/>
      <c r="E174" s="254"/>
      <c r="F174" s="254"/>
      <c r="G174" s="253"/>
      <c r="H174" s="237"/>
      <c r="I174" s="237"/>
      <c r="J174" s="237"/>
    </row>
    <row r="175" spans="1:10" ht="12.75">
      <c r="A175" s="237"/>
      <c r="B175" s="237"/>
      <c r="C175" s="237"/>
      <c r="D175" s="237"/>
      <c r="E175" s="254"/>
      <c r="F175" s="254"/>
      <c r="G175" s="253"/>
      <c r="H175" s="237"/>
      <c r="I175" s="237"/>
      <c r="J175" s="237"/>
    </row>
    <row r="176" spans="1:10" ht="12.75">
      <c r="A176" s="237"/>
      <c r="B176" s="237"/>
      <c r="C176" s="237"/>
      <c r="D176" s="238"/>
      <c r="E176" s="237"/>
      <c r="F176" s="237"/>
      <c r="G176" s="237"/>
      <c r="H176" s="237"/>
      <c r="I176" s="237"/>
      <c r="J176" s="237"/>
    </row>
    <row r="177" spans="1:11" ht="12.75">
      <c r="A177" s="238" t="s">
        <v>297</v>
      </c>
      <c r="B177" s="238"/>
      <c r="C177" s="238"/>
      <c r="D177" s="285"/>
      <c r="E177" s="285"/>
      <c r="F177" s="235"/>
      <c r="G177" s="238" t="s">
        <v>226</v>
      </c>
      <c r="H177" s="235"/>
      <c r="I177" s="235"/>
      <c r="J177" s="237"/>
      <c r="K177" s="27"/>
    </row>
    <row r="178" spans="1:11" ht="33.75">
      <c r="A178" s="239" t="s">
        <v>0</v>
      </c>
      <c r="B178" s="239" t="s">
        <v>208</v>
      </c>
      <c r="C178" s="239" t="s">
        <v>1</v>
      </c>
      <c r="D178" s="239" t="s">
        <v>197</v>
      </c>
      <c r="E178" s="239" t="s">
        <v>196</v>
      </c>
      <c r="F178" s="240" t="s">
        <v>170</v>
      </c>
      <c r="G178" s="286"/>
      <c r="H178" s="286"/>
      <c r="I178" s="286"/>
      <c r="J178" s="286"/>
      <c r="K178" s="124"/>
    </row>
    <row r="179" spans="1:11" ht="12.75">
      <c r="A179" s="244">
        <v>411111</v>
      </c>
      <c r="B179" s="246"/>
      <c r="C179" s="244" t="s">
        <v>8</v>
      </c>
      <c r="D179" s="245">
        <v>68087492.37</v>
      </c>
      <c r="E179" s="246"/>
      <c r="F179" s="246"/>
      <c r="G179" s="262"/>
      <c r="H179" s="262"/>
      <c r="I179" s="262"/>
      <c r="J179" s="253"/>
      <c r="K179" s="122"/>
    </row>
    <row r="180" spans="1:11" ht="12.75">
      <c r="A180" s="244">
        <v>411112</v>
      </c>
      <c r="B180" s="246"/>
      <c r="C180" s="244" t="s">
        <v>93</v>
      </c>
      <c r="D180" s="245">
        <v>701310.26</v>
      </c>
      <c r="E180" s="246"/>
      <c r="F180" s="246"/>
      <c r="G180" s="262"/>
      <c r="H180" s="262"/>
      <c r="I180" s="262"/>
      <c r="J180" s="253"/>
      <c r="K180" s="122"/>
    </row>
    <row r="181" spans="1:11" ht="12.75">
      <c r="A181" s="244">
        <v>411113</v>
      </c>
      <c r="B181" s="246"/>
      <c r="C181" s="244" t="s">
        <v>9</v>
      </c>
      <c r="D181" s="245">
        <v>320610.99</v>
      </c>
      <c r="E181" s="246"/>
      <c r="F181" s="246"/>
      <c r="G181" s="262"/>
      <c r="H181" s="262"/>
      <c r="I181" s="262"/>
      <c r="J181" s="253"/>
      <c r="K181" s="122"/>
    </row>
    <row r="182" spans="1:11" ht="12.75">
      <c r="A182" s="244">
        <v>411114</v>
      </c>
      <c r="B182" s="246"/>
      <c r="C182" s="244" t="s">
        <v>10</v>
      </c>
      <c r="D182" s="245">
        <v>435473.33</v>
      </c>
      <c r="E182" s="246"/>
      <c r="F182" s="246"/>
      <c r="G182" s="262"/>
      <c r="H182" s="262"/>
      <c r="I182" s="262"/>
      <c r="J182" s="253"/>
      <c r="K182" s="122"/>
    </row>
    <row r="183" spans="1:11" ht="12.75">
      <c r="A183" s="244">
        <v>411115</v>
      </c>
      <c r="B183" s="246"/>
      <c r="C183" s="244" t="s">
        <v>11</v>
      </c>
      <c r="D183" s="245">
        <v>4736398.51</v>
      </c>
      <c r="E183" s="246"/>
      <c r="F183" s="246"/>
      <c r="G183" s="262"/>
      <c r="H183" s="262"/>
      <c r="I183" s="262"/>
      <c r="J183" s="253"/>
      <c r="K183" s="122"/>
    </row>
    <row r="184" spans="1:11" ht="12.75">
      <c r="A184" s="244">
        <v>411117</v>
      </c>
      <c r="B184" s="246"/>
      <c r="C184" s="244" t="s">
        <v>12</v>
      </c>
      <c r="D184" s="245">
        <v>1012899.65</v>
      </c>
      <c r="E184" s="246"/>
      <c r="F184" s="246"/>
      <c r="G184" s="262"/>
      <c r="H184" s="262"/>
      <c r="I184" s="262"/>
      <c r="J184" s="253"/>
      <c r="K184" s="122"/>
    </row>
    <row r="185" spans="1:11" ht="12.75">
      <c r="A185" s="247">
        <v>4111</v>
      </c>
      <c r="B185" s="246"/>
      <c r="C185" s="247" t="s">
        <v>92</v>
      </c>
      <c r="D185" s="248">
        <f>SUM(D179:D184)</f>
        <v>75294185.11000001</v>
      </c>
      <c r="E185" s="246"/>
      <c r="F185" s="263"/>
      <c r="G185" s="252"/>
      <c r="H185" s="252"/>
      <c r="I185" s="252"/>
      <c r="J185" s="287"/>
      <c r="K185" s="125"/>
    </row>
    <row r="186" spans="1:11" ht="12.75">
      <c r="A186" s="244">
        <v>412111</v>
      </c>
      <c r="B186" s="246"/>
      <c r="C186" s="244" t="s">
        <v>13</v>
      </c>
      <c r="D186" s="245">
        <v>8303046.17</v>
      </c>
      <c r="E186" s="246"/>
      <c r="F186" s="246"/>
      <c r="G186" s="262"/>
      <c r="H186" s="262"/>
      <c r="I186" s="262"/>
      <c r="J186" s="253"/>
      <c r="K186" s="122"/>
    </row>
    <row r="187" spans="1:11" ht="12.75">
      <c r="A187" s="244">
        <v>412113</v>
      </c>
      <c r="B187" s="246"/>
      <c r="C187" s="244" t="s">
        <v>129</v>
      </c>
      <c r="D187" s="245"/>
      <c r="E187" s="246"/>
      <c r="F187" s="246"/>
      <c r="G187" s="262"/>
      <c r="H187" s="262"/>
      <c r="I187" s="262"/>
      <c r="J187" s="253"/>
      <c r="K187" s="122"/>
    </row>
    <row r="188" spans="1:11" ht="12.75">
      <c r="A188" s="247">
        <v>4121</v>
      </c>
      <c r="B188" s="246"/>
      <c r="C188" s="247" t="s">
        <v>94</v>
      </c>
      <c r="D188" s="248">
        <f>SUM(D186:D187)</f>
        <v>8303046.17</v>
      </c>
      <c r="E188" s="246"/>
      <c r="F188" s="263"/>
      <c r="G188" s="252"/>
      <c r="H188" s="252"/>
      <c r="I188" s="252"/>
      <c r="J188" s="253"/>
      <c r="K188" s="122"/>
    </row>
    <row r="189" spans="1:11" ht="12.75">
      <c r="A189" s="244">
        <v>412211</v>
      </c>
      <c r="B189" s="246"/>
      <c r="C189" s="244" t="s">
        <v>14</v>
      </c>
      <c r="D189" s="245">
        <v>4642157.63</v>
      </c>
      <c r="E189" s="246"/>
      <c r="F189" s="246"/>
      <c r="G189" s="262"/>
      <c r="H189" s="262"/>
      <c r="I189" s="262"/>
      <c r="J189" s="253"/>
      <c r="K189" s="122"/>
    </row>
    <row r="190" spans="1:11" ht="12.75">
      <c r="A190" s="247">
        <v>4122</v>
      </c>
      <c r="B190" s="246"/>
      <c r="C190" s="247" t="s">
        <v>14</v>
      </c>
      <c r="D190" s="248">
        <f>SUM(D189)</f>
        <v>4642157.63</v>
      </c>
      <c r="E190" s="246"/>
      <c r="F190" s="263"/>
      <c r="G190" s="252"/>
      <c r="H190" s="252"/>
      <c r="I190" s="252"/>
      <c r="J190" s="253"/>
      <c r="K190" s="122"/>
    </row>
    <row r="191" spans="1:11" ht="12.75">
      <c r="A191" s="244">
        <v>412311</v>
      </c>
      <c r="B191" s="246"/>
      <c r="C191" s="244" t="s">
        <v>95</v>
      </c>
      <c r="D191" s="245">
        <v>566116.77</v>
      </c>
      <c r="E191" s="246"/>
      <c r="F191" s="246"/>
      <c r="G191" s="262"/>
      <c r="H191" s="262"/>
      <c r="I191" s="262"/>
      <c r="J191" s="253"/>
      <c r="K191" s="122"/>
    </row>
    <row r="192" spans="1:11" ht="12.75">
      <c r="A192" s="247">
        <v>4123</v>
      </c>
      <c r="B192" s="246"/>
      <c r="C192" s="247" t="s">
        <v>96</v>
      </c>
      <c r="D192" s="248">
        <f>SUM(D191)</f>
        <v>566116.77</v>
      </c>
      <c r="E192" s="246"/>
      <c r="F192" s="263"/>
      <c r="G192" s="252"/>
      <c r="H192" s="252"/>
      <c r="I192" s="252"/>
      <c r="J192" s="253"/>
      <c r="K192" s="122"/>
    </row>
    <row r="193" spans="1:11" ht="12.75">
      <c r="A193" s="247"/>
      <c r="B193" s="249">
        <f>D193*100/99312441.37</f>
        <v>89.42032282656793</v>
      </c>
      <c r="C193" s="247" t="s">
        <v>174</v>
      </c>
      <c r="D193" s="281">
        <f>D192+D190+D188+D185</f>
        <v>88805505.68</v>
      </c>
      <c r="E193" s="249">
        <f>187186000+29034000</f>
        <v>216220000</v>
      </c>
      <c r="F193" s="249">
        <f>D193*100/E193</f>
        <v>41.07182762001665</v>
      </c>
      <c r="G193" s="252"/>
      <c r="H193" s="252"/>
      <c r="I193" s="252"/>
      <c r="J193" s="287"/>
      <c r="K193" s="125"/>
    </row>
    <row r="194" spans="1:11" ht="12.75">
      <c r="A194" s="244">
        <v>413151</v>
      </c>
      <c r="B194" s="249"/>
      <c r="C194" s="244" t="s">
        <v>15</v>
      </c>
      <c r="D194" s="245"/>
      <c r="E194" s="246"/>
      <c r="F194" s="249"/>
      <c r="G194" s="262"/>
      <c r="H194" s="262"/>
      <c r="I194" s="262"/>
      <c r="J194" s="253"/>
      <c r="K194" s="122"/>
    </row>
    <row r="195" spans="1:11" ht="12.75">
      <c r="A195" s="244">
        <v>415112</v>
      </c>
      <c r="B195" s="249"/>
      <c r="C195" s="244" t="s">
        <v>21</v>
      </c>
      <c r="D195" s="245">
        <v>1788736.09</v>
      </c>
      <c r="E195" s="246"/>
      <c r="F195" s="249"/>
      <c r="G195" s="262"/>
      <c r="H195" s="262"/>
      <c r="I195" s="262"/>
      <c r="J195" s="253"/>
      <c r="K195" s="122"/>
    </row>
    <row r="196" spans="1:11" ht="12.75">
      <c r="A196" s="247">
        <v>4131</v>
      </c>
      <c r="B196" s="249">
        <f>D196*100/99312441.37</f>
        <v>1.801119844930462</v>
      </c>
      <c r="C196" s="247" t="s">
        <v>295</v>
      </c>
      <c r="D196" s="281">
        <f>SUM(D194:D195)</f>
        <v>1788736.09</v>
      </c>
      <c r="E196" s="249">
        <v>4025000</v>
      </c>
      <c r="F196" s="249">
        <f>D196*100/E196</f>
        <v>44.44064819875776</v>
      </c>
      <c r="G196" s="252"/>
      <c r="H196" s="252"/>
      <c r="I196" s="252"/>
      <c r="J196" s="252"/>
      <c r="K196" s="113"/>
    </row>
    <row r="197" spans="1:11" ht="12.75">
      <c r="A197" s="247"/>
      <c r="B197" s="249">
        <f>D197*100/99312441.37</f>
        <v>3.7735130546615023</v>
      </c>
      <c r="C197" s="247" t="s">
        <v>179</v>
      </c>
      <c r="D197" s="248">
        <f>D200+D202+D205+D211+D227+D232+D234+D238+D241+D244+D246+D248+D250+D256+D269+D273+D275+D277+D281+D284+D290+D292+D296</f>
        <v>3747567.9400000004</v>
      </c>
      <c r="E197" s="249">
        <v>13692000</v>
      </c>
      <c r="F197" s="249">
        <f>D197*100/E197</f>
        <v>27.370493280747887</v>
      </c>
      <c r="G197" s="252"/>
      <c r="H197" s="252"/>
      <c r="I197" s="252"/>
      <c r="J197" s="252"/>
      <c r="K197" s="113"/>
    </row>
    <row r="198" spans="1:11" ht="12.75">
      <c r="A198" s="244">
        <v>414311</v>
      </c>
      <c r="B198" s="258"/>
      <c r="C198" s="244" t="s">
        <v>19</v>
      </c>
      <c r="D198" s="245">
        <v>163848</v>
      </c>
      <c r="E198" s="246"/>
      <c r="F198" s="249"/>
      <c r="G198" s="262"/>
      <c r="H198" s="262"/>
      <c r="I198" s="262"/>
      <c r="J198" s="253"/>
      <c r="K198" s="122"/>
    </row>
    <row r="199" spans="1:11" ht="12.75">
      <c r="A199" s="244">
        <v>414314</v>
      </c>
      <c r="B199" s="258"/>
      <c r="C199" s="244" t="s">
        <v>20</v>
      </c>
      <c r="D199" s="245"/>
      <c r="E199" s="246"/>
      <c r="F199" s="249"/>
      <c r="G199" s="262"/>
      <c r="H199" s="262"/>
      <c r="I199" s="262"/>
      <c r="J199" s="253"/>
      <c r="K199" s="122"/>
    </row>
    <row r="200" spans="1:11" ht="12.75">
      <c r="A200" s="247">
        <v>4143</v>
      </c>
      <c r="B200" s="258">
        <f>D200*100/3747567.94</f>
        <v>4.372115532613933</v>
      </c>
      <c r="C200" s="247" t="s">
        <v>99</v>
      </c>
      <c r="D200" s="248">
        <f>SUM(D198:D199)</f>
        <v>163848</v>
      </c>
      <c r="E200" s="246"/>
      <c r="F200" s="249"/>
      <c r="G200" s="252"/>
      <c r="H200" s="252"/>
      <c r="I200" s="252"/>
      <c r="J200" s="253"/>
      <c r="K200" s="122"/>
    </row>
    <row r="201" spans="1:11" ht="12.75">
      <c r="A201" s="244">
        <v>421111</v>
      </c>
      <c r="B201" s="258"/>
      <c r="C201" s="244" t="s">
        <v>22</v>
      </c>
      <c r="D201" s="245">
        <v>278481.54</v>
      </c>
      <c r="E201" s="246"/>
      <c r="F201" s="249"/>
      <c r="G201" s="262"/>
      <c r="H201" s="262"/>
      <c r="I201" s="262"/>
      <c r="J201" s="253"/>
      <c r="K201" s="122"/>
    </row>
    <row r="202" spans="1:11" ht="12.75">
      <c r="A202" s="247">
        <v>4211</v>
      </c>
      <c r="B202" s="258">
        <f>D202*100/3747567.94</f>
        <v>7.430993766052977</v>
      </c>
      <c r="C202" s="247" t="s">
        <v>101</v>
      </c>
      <c r="D202" s="248">
        <f>SUM(D201)</f>
        <v>278481.54</v>
      </c>
      <c r="E202" s="249">
        <v>400000</v>
      </c>
      <c r="F202" s="249">
        <f>D202*100/E202</f>
        <v>69.62038499999998</v>
      </c>
      <c r="G202" s="252"/>
      <c r="H202" s="252"/>
      <c r="I202" s="252"/>
      <c r="J202" s="287"/>
      <c r="K202" s="125"/>
    </row>
    <row r="203" spans="1:11" ht="12.75">
      <c r="A203" s="244">
        <v>421311</v>
      </c>
      <c r="B203" s="258"/>
      <c r="C203" s="244" t="s">
        <v>25</v>
      </c>
      <c r="D203" s="245">
        <f>115403.72+287554.6</f>
        <v>402958.31999999995</v>
      </c>
      <c r="E203" s="246"/>
      <c r="F203" s="249"/>
      <c r="G203" s="262"/>
      <c r="H203" s="262"/>
      <c r="I203" s="262"/>
      <c r="J203" s="253"/>
      <c r="K203" s="122"/>
    </row>
    <row r="204" spans="1:11" ht="12.75">
      <c r="A204" s="244">
        <v>421324</v>
      </c>
      <c r="B204" s="258"/>
      <c r="C204" s="244" t="s">
        <v>26</v>
      </c>
      <c r="D204" s="245">
        <v>173122.8</v>
      </c>
      <c r="E204" s="246"/>
      <c r="F204" s="249"/>
      <c r="G204" s="262"/>
      <c r="H204" s="262"/>
      <c r="I204" s="262"/>
      <c r="J204" s="253"/>
      <c r="K204" s="122"/>
    </row>
    <row r="205" spans="1:11" ht="12.75">
      <c r="A205" s="247">
        <v>4213</v>
      </c>
      <c r="B205" s="258">
        <f>D205*100/3747567.94</f>
        <v>15.372132786470573</v>
      </c>
      <c r="C205" s="247" t="s">
        <v>103</v>
      </c>
      <c r="D205" s="281">
        <f>SUM(D203:D204)</f>
        <v>576081.1199999999</v>
      </c>
      <c r="E205" s="249">
        <v>1150000</v>
      </c>
      <c r="F205" s="249">
        <f>D205*100/E205</f>
        <v>50.0940104347826</v>
      </c>
      <c r="G205" s="252"/>
      <c r="H205" s="252"/>
      <c r="I205" s="252"/>
      <c r="J205" s="287"/>
      <c r="K205" s="122"/>
    </row>
    <row r="206" spans="1:11" ht="12.75">
      <c r="A206" s="244">
        <v>421411</v>
      </c>
      <c r="B206" s="258"/>
      <c r="C206" s="244" t="s">
        <v>27</v>
      </c>
      <c r="D206" s="245">
        <v>34715.6</v>
      </c>
      <c r="E206" s="246"/>
      <c r="F206" s="249"/>
      <c r="G206" s="262"/>
      <c r="H206" s="262"/>
      <c r="I206" s="262"/>
      <c r="J206" s="253"/>
      <c r="K206" s="122"/>
    </row>
    <row r="207" spans="1:11" ht="12.75">
      <c r="A207" s="244">
        <v>421412</v>
      </c>
      <c r="B207" s="258"/>
      <c r="C207" s="244" t="s">
        <v>28</v>
      </c>
      <c r="D207" s="245"/>
      <c r="E207" s="246"/>
      <c r="F207" s="249"/>
      <c r="G207" s="262"/>
      <c r="H207" s="262"/>
      <c r="I207" s="262"/>
      <c r="J207" s="253"/>
      <c r="K207" s="122"/>
    </row>
    <row r="208" spans="1:11" ht="12.75">
      <c r="A208" s="244">
        <v>421414</v>
      </c>
      <c r="B208" s="258"/>
      <c r="C208" s="244" t="s">
        <v>29</v>
      </c>
      <c r="D208" s="245"/>
      <c r="E208" s="246"/>
      <c r="F208" s="249"/>
      <c r="G208" s="262"/>
      <c r="H208" s="262"/>
      <c r="I208" s="262"/>
      <c r="J208" s="253"/>
      <c r="K208" s="122"/>
    </row>
    <row r="209" spans="1:11" ht="12.75">
      <c r="A209" s="244">
        <v>421421</v>
      </c>
      <c r="B209" s="258"/>
      <c r="C209" s="244" t="s">
        <v>224</v>
      </c>
      <c r="D209" s="245">
        <v>8000</v>
      </c>
      <c r="E209" s="246"/>
      <c r="F209" s="249"/>
      <c r="G209" s="262"/>
      <c r="H209" s="262"/>
      <c r="I209" s="262"/>
      <c r="J209" s="253"/>
      <c r="K209" s="122"/>
    </row>
    <row r="210" spans="1:11" ht="12.75">
      <c r="A210" s="244">
        <v>421422</v>
      </c>
      <c r="B210" s="258"/>
      <c r="C210" s="244" t="s">
        <v>31</v>
      </c>
      <c r="D210" s="245">
        <v>44345</v>
      </c>
      <c r="E210" s="246"/>
      <c r="F210" s="249"/>
      <c r="G210" s="262"/>
      <c r="H210" s="262"/>
      <c r="I210" s="262"/>
      <c r="J210" s="253"/>
      <c r="K210" s="122"/>
    </row>
    <row r="211" spans="1:11" ht="12.75">
      <c r="A211" s="247">
        <v>4214</v>
      </c>
      <c r="B211" s="258">
        <f>D211*100/3747567.94</f>
        <v>2.323122659652169</v>
      </c>
      <c r="C211" s="247" t="s">
        <v>104</v>
      </c>
      <c r="D211" s="248">
        <f>SUM(D206:D210)</f>
        <v>87060.6</v>
      </c>
      <c r="E211" s="249">
        <v>600000</v>
      </c>
      <c r="F211" s="249">
        <f>D211*100/E211</f>
        <v>14.5101</v>
      </c>
      <c r="G211" s="252"/>
      <c r="H211" s="252"/>
      <c r="I211" s="252"/>
      <c r="J211" s="287"/>
      <c r="K211" s="122"/>
    </row>
    <row r="212" spans="1:11" ht="12.75">
      <c r="A212" s="251"/>
      <c r="B212" s="251"/>
      <c r="C212" s="251"/>
      <c r="D212" s="252"/>
      <c r="E212" s="253"/>
      <c r="F212" s="288"/>
      <c r="G212" s="252"/>
      <c r="H212" s="252"/>
      <c r="I212" s="252"/>
      <c r="J212" s="253"/>
      <c r="K212" s="122"/>
    </row>
    <row r="213" spans="1:11" ht="12.75">
      <c r="A213" s="251"/>
      <c r="B213" s="251"/>
      <c r="C213" s="251"/>
      <c r="D213" s="252"/>
      <c r="E213" s="253"/>
      <c r="F213" s="288"/>
      <c r="G213" s="252"/>
      <c r="H213" s="252"/>
      <c r="I213" s="252"/>
      <c r="J213" s="253"/>
      <c r="K213" s="122"/>
    </row>
    <row r="214" spans="1:11" ht="12.75">
      <c r="A214" s="251"/>
      <c r="B214" s="251"/>
      <c r="C214" s="251"/>
      <c r="D214" s="252"/>
      <c r="E214" s="253"/>
      <c r="F214" s="288"/>
      <c r="G214" s="252"/>
      <c r="H214" s="252"/>
      <c r="I214" s="252"/>
      <c r="J214" s="253"/>
      <c r="K214" s="122"/>
    </row>
    <row r="215" spans="1:11" ht="12.75">
      <c r="A215" s="251"/>
      <c r="B215" s="251"/>
      <c r="C215" s="251"/>
      <c r="D215" s="252"/>
      <c r="E215" s="253"/>
      <c r="F215" s="288"/>
      <c r="G215" s="252"/>
      <c r="H215" s="252"/>
      <c r="I215" s="252"/>
      <c r="J215" s="253"/>
      <c r="K215" s="122"/>
    </row>
    <row r="216" spans="1:11" ht="12.75">
      <c r="A216" s="251"/>
      <c r="B216" s="251"/>
      <c r="C216" s="251"/>
      <c r="D216" s="252"/>
      <c r="E216" s="253"/>
      <c r="F216" s="288"/>
      <c r="G216" s="252"/>
      <c r="H216" s="252"/>
      <c r="I216" s="252"/>
      <c r="J216" s="253"/>
      <c r="K216" s="122"/>
    </row>
    <row r="217" spans="1:11" ht="12.75">
      <c r="A217" s="251"/>
      <c r="B217" s="251"/>
      <c r="C217" s="251"/>
      <c r="D217" s="252"/>
      <c r="E217" s="253"/>
      <c r="F217" s="288"/>
      <c r="G217" s="252"/>
      <c r="H217" s="252"/>
      <c r="I217" s="252"/>
      <c r="J217" s="253"/>
      <c r="K217" s="122"/>
    </row>
    <row r="218" spans="1:11" ht="12.75">
      <c r="A218" s="251"/>
      <c r="B218" s="251"/>
      <c r="C218" s="251"/>
      <c r="D218" s="252"/>
      <c r="E218" s="253"/>
      <c r="F218" s="288"/>
      <c r="G218" s="252"/>
      <c r="H218" s="252"/>
      <c r="I218" s="252"/>
      <c r="J218" s="253"/>
      <c r="K218" s="122"/>
    </row>
    <row r="219" spans="1:11" ht="12.75">
      <c r="A219" s="251"/>
      <c r="B219" s="251"/>
      <c r="C219" s="251"/>
      <c r="D219" s="252"/>
      <c r="E219" s="253"/>
      <c r="F219" s="288"/>
      <c r="G219" s="252"/>
      <c r="H219" s="252"/>
      <c r="I219" s="252"/>
      <c r="J219" s="253"/>
      <c r="K219" s="122"/>
    </row>
    <row r="220" spans="1:11" ht="12.75">
      <c r="A220" s="251"/>
      <c r="B220" s="251"/>
      <c r="C220" s="251"/>
      <c r="D220" s="252"/>
      <c r="E220" s="288"/>
      <c r="F220" s="288"/>
      <c r="G220" s="252"/>
      <c r="H220" s="252"/>
      <c r="I220" s="252"/>
      <c r="J220" s="253"/>
      <c r="K220" s="122"/>
    </row>
    <row r="221" spans="1:11" ht="12.75">
      <c r="A221" s="238" t="s">
        <v>297</v>
      </c>
      <c r="B221" s="238"/>
      <c r="C221" s="238"/>
      <c r="D221" s="285"/>
      <c r="E221" s="285"/>
      <c r="F221" s="235"/>
      <c r="G221" s="238" t="s">
        <v>227</v>
      </c>
      <c r="H221" s="252"/>
      <c r="I221" s="252"/>
      <c r="J221" s="253"/>
      <c r="K221" s="122"/>
    </row>
    <row r="222" spans="1:11" ht="33.75">
      <c r="A222" s="239" t="s">
        <v>0</v>
      </c>
      <c r="B222" s="239" t="s">
        <v>208</v>
      </c>
      <c r="C222" s="239" t="s">
        <v>1</v>
      </c>
      <c r="D222" s="239" t="s">
        <v>197</v>
      </c>
      <c r="E222" s="267" t="s">
        <v>196</v>
      </c>
      <c r="F222" s="289" t="s">
        <v>170</v>
      </c>
      <c r="G222" s="286"/>
      <c r="H222" s="286"/>
      <c r="I222" s="286"/>
      <c r="J222" s="290"/>
      <c r="K222" s="127"/>
    </row>
    <row r="223" spans="1:11" ht="12.75">
      <c r="A223" s="244">
        <v>421512</v>
      </c>
      <c r="B223" s="291"/>
      <c r="C223" s="244" t="s">
        <v>32</v>
      </c>
      <c r="D223" s="245">
        <v>117929.28</v>
      </c>
      <c r="E223" s="246">
        <v>130000</v>
      </c>
      <c r="F223" s="246">
        <f>D223*100/E223</f>
        <v>90.71483076923077</v>
      </c>
      <c r="G223" s="262"/>
      <c r="H223" s="262"/>
      <c r="I223" s="262"/>
      <c r="J223" s="253"/>
      <c r="K223" s="92"/>
    </row>
    <row r="224" spans="1:11" ht="12.75">
      <c r="A224" s="244">
        <v>421513</v>
      </c>
      <c r="B224" s="291"/>
      <c r="C224" s="244" t="s">
        <v>33</v>
      </c>
      <c r="D224" s="245">
        <v>175635.68</v>
      </c>
      <c r="E224" s="246"/>
      <c r="F224" s="246"/>
      <c r="G224" s="262"/>
      <c r="H224" s="262"/>
      <c r="I224" s="262"/>
      <c r="J224" s="253"/>
      <c r="K224" s="92"/>
    </row>
    <row r="225" spans="1:11" ht="12.75">
      <c r="A225" s="244">
        <v>421519</v>
      </c>
      <c r="B225" s="291"/>
      <c r="C225" s="244" t="s">
        <v>34</v>
      </c>
      <c r="D225" s="245">
        <v>458165.39</v>
      </c>
      <c r="E225" s="246">
        <v>1860000</v>
      </c>
      <c r="F225" s="246">
        <f>D225*100/E225</f>
        <v>24.632547849462366</v>
      </c>
      <c r="G225" s="262"/>
      <c r="H225" s="262"/>
      <c r="I225" s="262"/>
      <c r="J225" s="253"/>
      <c r="K225" s="92"/>
    </row>
    <row r="226" spans="1:11" ht="12.75">
      <c r="A226" s="244">
        <v>421521</v>
      </c>
      <c r="B226" s="291"/>
      <c r="C226" s="244" t="s">
        <v>35</v>
      </c>
      <c r="D226" s="245">
        <v>36468</v>
      </c>
      <c r="E226" s="246">
        <v>220000</v>
      </c>
      <c r="F226" s="246">
        <f>D226*100/E226</f>
        <v>16.576363636363638</v>
      </c>
      <c r="G226" s="262"/>
      <c r="H226" s="262"/>
      <c r="I226" s="262"/>
      <c r="J226" s="253"/>
      <c r="K226" s="92"/>
    </row>
    <row r="227" spans="1:11" ht="12.75">
      <c r="A227" s="247">
        <v>4215</v>
      </c>
      <c r="B227" s="258">
        <f>D227*100/3747567.94</f>
        <v>21.032263126896108</v>
      </c>
      <c r="C227" s="247" t="s">
        <v>169</v>
      </c>
      <c r="D227" s="248">
        <f>SUM(D223:D226)</f>
        <v>788198.35</v>
      </c>
      <c r="E227" s="249">
        <f>SUM(E223:E226)</f>
        <v>2210000</v>
      </c>
      <c r="F227" s="249">
        <f>D227*100/E227</f>
        <v>35.66508371040724</v>
      </c>
      <c r="G227" s="252"/>
      <c r="H227" s="252"/>
      <c r="I227" s="252"/>
      <c r="J227" s="287"/>
      <c r="K227" s="92"/>
    </row>
    <row r="228" spans="1:11" ht="12.75">
      <c r="A228" s="244">
        <v>422111</v>
      </c>
      <c r="B228" s="258"/>
      <c r="C228" s="244" t="s">
        <v>36</v>
      </c>
      <c r="D228" s="245"/>
      <c r="E228" s="246"/>
      <c r="F228" s="246"/>
      <c r="G228" s="262"/>
      <c r="H228" s="262"/>
      <c r="I228" s="262"/>
      <c r="J228" s="253"/>
      <c r="K228" s="92"/>
    </row>
    <row r="229" spans="1:11" ht="12.75">
      <c r="A229" s="244">
        <v>422121</v>
      </c>
      <c r="B229" s="258"/>
      <c r="C229" s="244" t="s">
        <v>37</v>
      </c>
      <c r="D229" s="245"/>
      <c r="E229" s="246"/>
      <c r="F229" s="246"/>
      <c r="G229" s="262"/>
      <c r="H229" s="262"/>
      <c r="I229" s="262"/>
      <c r="J229" s="253"/>
      <c r="K229" s="92"/>
    </row>
    <row r="230" spans="1:11" ht="12.75">
      <c r="A230" s="244">
        <v>422194</v>
      </c>
      <c r="B230" s="258"/>
      <c r="C230" s="244" t="s">
        <v>38</v>
      </c>
      <c r="D230" s="245"/>
      <c r="E230" s="246"/>
      <c r="F230" s="246"/>
      <c r="G230" s="262"/>
      <c r="H230" s="262"/>
      <c r="I230" s="262"/>
      <c r="J230" s="253"/>
      <c r="K230" s="92"/>
    </row>
    <row r="231" spans="1:11" ht="12.75">
      <c r="A231" s="244">
        <v>422199</v>
      </c>
      <c r="B231" s="258"/>
      <c r="C231" s="244" t="s">
        <v>39</v>
      </c>
      <c r="D231" s="245"/>
      <c r="E231" s="246"/>
      <c r="F231" s="246"/>
      <c r="G231" s="262"/>
      <c r="H231" s="262"/>
      <c r="I231" s="262"/>
      <c r="J231" s="253"/>
      <c r="K231" s="92"/>
    </row>
    <row r="232" spans="1:11" ht="12.75">
      <c r="A232" s="247">
        <v>4221</v>
      </c>
      <c r="B232" s="258">
        <f>D232*100/3747567.94</f>
        <v>0</v>
      </c>
      <c r="C232" s="247" t="s">
        <v>105</v>
      </c>
      <c r="D232" s="248"/>
      <c r="E232" s="246"/>
      <c r="F232" s="263"/>
      <c r="G232" s="252"/>
      <c r="H232" s="252"/>
      <c r="I232" s="252"/>
      <c r="J232" s="253"/>
      <c r="K232" s="92"/>
    </row>
    <row r="233" spans="1:11" ht="12.75">
      <c r="A233" s="244">
        <v>423291</v>
      </c>
      <c r="B233" s="258"/>
      <c r="C233" s="244" t="s">
        <v>40</v>
      </c>
      <c r="D233" s="245">
        <v>45148</v>
      </c>
      <c r="E233" s="246"/>
      <c r="F233" s="246"/>
      <c r="G233" s="262"/>
      <c r="H233" s="262"/>
      <c r="I233" s="262"/>
      <c r="J233" s="253"/>
      <c r="K233" s="92"/>
    </row>
    <row r="234" spans="1:11" ht="12.75">
      <c r="A234" s="247">
        <v>4232</v>
      </c>
      <c r="B234" s="258">
        <f>D234*100/3747567.94</f>
        <v>1.2047279922028578</v>
      </c>
      <c r="C234" s="247" t="s">
        <v>106</v>
      </c>
      <c r="D234" s="248">
        <f>SUM(D233)</f>
        <v>45148</v>
      </c>
      <c r="E234" s="249">
        <v>100000</v>
      </c>
      <c r="F234" s="249">
        <f>D234*100/E234</f>
        <v>45.148</v>
      </c>
      <c r="G234" s="252"/>
      <c r="H234" s="252"/>
      <c r="I234" s="252"/>
      <c r="J234" s="287"/>
      <c r="K234" s="92"/>
    </row>
    <row r="235" spans="1:11" ht="12.75">
      <c r="A235" s="244">
        <v>423311</v>
      </c>
      <c r="B235" s="258"/>
      <c r="C235" s="244" t="s">
        <v>42</v>
      </c>
      <c r="D235" s="245"/>
      <c r="E235" s="246"/>
      <c r="F235" s="246"/>
      <c r="G235" s="262"/>
      <c r="H235" s="262"/>
      <c r="I235" s="262"/>
      <c r="J235" s="253"/>
      <c r="K235" s="92"/>
    </row>
    <row r="236" spans="1:11" ht="12.75">
      <c r="A236" s="244">
        <v>423321</v>
      </c>
      <c r="B236" s="258"/>
      <c r="C236" s="244" t="s">
        <v>41</v>
      </c>
      <c r="D236" s="245"/>
      <c r="E236" s="246"/>
      <c r="F236" s="246"/>
      <c r="G236" s="262"/>
      <c r="H236" s="262"/>
      <c r="I236" s="262"/>
      <c r="J236" s="253"/>
      <c r="K236" s="92"/>
    </row>
    <row r="237" spans="1:11" ht="12.75">
      <c r="A237" s="244">
        <v>4233910</v>
      </c>
      <c r="B237" s="258"/>
      <c r="C237" s="244" t="s">
        <v>130</v>
      </c>
      <c r="D237" s="245"/>
      <c r="E237" s="246"/>
      <c r="F237" s="246"/>
      <c r="G237" s="262"/>
      <c r="H237" s="262"/>
      <c r="I237" s="262"/>
      <c r="J237" s="253"/>
      <c r="K237" s="92"/>
    </row>
    <row r="238" spans="1:11" ht="12.75">
      <c r="A238" s="247">
        <v>4233</v>
      </c>
      <c r="B238" s="258"/>
      <c r="C238" s="247" t="s">
        <v>107</v>
      </c>
      <c r="D238" s="248"/>
      <c r="E238" s="246"/>
      <c r="F238" s="263"/>
      <c r="G238" s="252"/>
      <c r="H238" s="252"/>
      <c r="I238" s="252"/>
      <c r="J238" s="253"/>
      <c r="K238" s="92"/>
    </row>
    <row r="239" spans="1:11" ht="12.75">
      <c r="A239" s="244">
        <v>423421</v>
      </c>
      <c r="B239" s="258"/>
      <c r="C239" s="244" t="s">
        <v>43</v>
      </c>
      <c r="D239" s="245"/>
      <c r="E239" s="246"/>
      <c r="F239" s="246"/>
      <c r="G239" s="262"/>
      <c r="H239" s="262"/>
      <c r="I239" s="262"/>
      <c r="J239" s="253"/>
      <c r="K239" s="92"/>
    </row>
    <row r="240" spans="1:11" ht="12.75">
      <c r="A240" s="259">
        <v>423432</v>
      </c>
      <c r="B240" s="258"/>
      <c r="C240" s="259" t="s">
        <v>44</v>
      </c>
      <c r="D240" s="260"/>
      <c r="E240" s="246"/>
      <c r="F240" s="246"/>
      <c r="G240" s="262"/>
      <c r="H240" s="262"/>
      <c r="I240" s="262"/>
      <c r="J240" s="253"/>
      <c r="K240" s="92"/>
    </row>
    <row r="241" spans="1:11" ht="12.75">
      <c r="A241" s="247">
        <v>4234</v>
      </c>
      <c r="B241" s="258"/>
      <c r="C241" s="247" t="s">
        <v>108</v>
      </c>
      <c r="D241" s="248"/>
      <c r="E241" s="246"/>
      <c r="F241" s="263"/>
      <c r="G241" s="252"/>
      <c r="H241" s="252"/>
      <c r="I241" s="252"/>
      <c r="J241" s="253"/>
      <c r="K241" s="92"/>
    </row>
    <row r="242" spans="1:11" ht="12.75">
      <c r="A242" s="244">
        <v>423539</v>
      </c>
      <c r="B242" s="258"/>
      <c r="C242" s="244" t="s">
        <v>131</v>
      </c>
      <c r="D242" s="245"/>
      <c r="E242" s="246"/>
      <c r="F242" s="246"/>
      <c r="G242" s="262"/>
      <c r="H242" s="262"/>
      <c r="I242" s="262"/>
      <c r="J242" s="253"/>
      <c r="K242" s="92"/>
    </row>
    <row r="243" spans="1:11" ht="12.75">
      <c r="A243" s="244">
        <v>423599</v>
      </c>
      <c r="B243" s="258"/>
      <c r="C243" s="244" t="s">
        <v>45</v>
      </c>
      <c r="D243" s="245"/>
      <c r="E243" s="246">
        <v>50000</v>
      </c>
      <c r="F243" s="246"/>
      <c r="G243" s="262"/>
      <c r="H243" s="262"/>
      <c r="I243" s="262"/>
      <c r="J243" s="253"/>
      <c r="K243" s="92"/>
    </row>
    <row r="244" spans="1:11" ht="12.75">
      <c r="A244" s="247">
        <v>4235</v>
      </c>
      <c r="B244" s="258"/>
      <c r="C244" s="247" t="s">
        <v>109</v>
      </c>
      <c r="D244" s="248"/>
      <c r="E244" s="249">
        <f>SUM(E243)</f>
        <v>50000</v>
      </c>
      <c r="F244" s="258"/>
      <c r="G244" s="252"/>
      <c r="H244" s="252"/>
      <c r="I244" s="252"/>
      <c r="J244" s="253"/>
      <c r="K244" s="92"/>
    </row>
    <row r="245" spans="1:11" ht="12.75">
      <c r="A245" s="244">
        <v>423611</v>
      </c>
      <c r="B245" s="258"/>
      <c r="C245" s="244" t="s">
        <v>46</v>
      </c>
      <c r="D245" s="245">
        <v>612933.3</v>
      </c>
      <c r="E245" s="246">
        <v>2800000</v>
      </c>
      <c r="F245" s="246"/>
      <c r="G245" s="262"/>
      <c r="H245" s="262"/>
      <c r="I245" s="262"/>
      <c r="J245" s="253"/>
      <c r="K245" s="92"/>
    </row>
    <row r="246" spans="1:11" ht="12.75">
      <c r="A246" s="247">
        <v>4236</v>
      </c>
      <c r="B246" s="258">
        <f>D246*100/3747567.94</f>
        <v>16.35549534560273</v>
      </c>
      <c r="C246" s="247" t="s">
        <v>110</v>
      </c>
      <c r="D246" s="248">
        <f>SUM(D245)</f>
        <v>612933.3</v>
      </c>
      <c r="E246" s="249">
        <f>SUM(E245)</f>
        <v>2800000</v>
      </c>
      <c r="F246" s="249">
        <f>D246*100/E246</f>
        <v>21.890475000000002</v>
      </c>
      <c r="G246" s="252"/>
      <c r="H246" s="252"/>
      <c r="I246" s="252"/>
      <c r="J246" s="287"/>
      <c r="K246" s="92"/>
    </row>
    <row r="247" spans="1:11" ht="12.75">
      <c r="A247" s="244">
        <v>423711</v>
      </c>
      <c r="B247" s="258"/>
      <c r="C247" s="244" t="s">
        <v>47</v>
      </c>
      <c r="D247" s="245"/>
      <c r="E247" s="246"/>
      <c r="F247" s="246"/>
      <c r="G247" s="262"/>
      <c r="H247" s="262"/>
      <c r="I247" s="262"/>
      <c r="J247" s="253"/>
      <c r="K247" s="92"/>
    </row>
    <row r="248" spans="1:11" ht="12.75">
      <c r="A248" s="247">
        <v>4237</v>
      </c>
      <c r="B248" s="258"/>
      <c r="C248" s="247" t="s">
        <v>47</v>
      </c>
      <c r="D248" s="248"/>
      <c r="E248" s="246"/>
      <c r="F248" s="263"/>
      <c r="G248" s="252"/>
      <c r="H248" s="252"/>
      <c r="I248" s="252"/>
      <c r="J248" s="253"/>
      <c r="K248" s="92"/>
    </row>
    <row r="249" spans="1:11" ht="12.75">
      <c r="A249" s="244">
        <v>423911</v>
      </c>
      <c r="B249" s="258"/>
      <c r="C249" s="244" t="s">
        <v>48</v>
      </c>
      <c r="D249" s="245">
        <v>26048</v>
      </c>
      <c r="E249" s="246"/>
      <c r="F249" s="246"/>
      <c r="G249" s="262"/>
      <c r="H249" s="262"/>
      <c r="I249" s="262"/>
      <c r="J249" s="253"/>
      <c r="K249" s="92"/>
    </row>
    <row r="250" spans="1:11" ht="12.75">
      <c r="A250" s="247">
        <v>4239</v>
      </c>
      <c r="B250" s="258">
        <f>D250*100/3747567.94</f>
        <v>0.6950641167028448</v>
      </c>
      <c r="C250" s="247" t="s">
        <v>48</v>
      </c>
      <c r="D250" s="248">
        <f>SUM(D249)</f>
        <v>26048</v>
      </c>
      <c r="E250" s="249">
        <v>150000</v>
      </c>
      <c r="F250" s="249">
        <f>D250*100/E250</f>
        <v>17.365333333333332</v>
      </c>
      <c r="G250" s="252"/>
      <c r="H250" s="252"/>
      <c r="I250" s="252"/>
      <c r="J250" s="287"/>
      <c r="K250" s="92"/>
    </row>
    <row r="251" spans="1:11" ht="12.75">
      <c r="A251" s="244">
        <v>424351</v>
      </c>
      <c r="B251" s="258"/>
      <c r="C251" s="244" t="s">
        <v>49</v>
      </c>
      <c r="D251" s="245"/>
      <c r="E251" s="246"/>
      <c r="F251" s="249"/>
      <c r="G251" s="262"/>
      <c r="H251" s="262"/>
      <c r="I251" s="262"/>
      <c r="J251" s="253"/>
      <c r="K251" s="92"/>
    </row>
    <row r="252" spans="1:11" ht="12.75">
      <c r="A252" s="247">
        <v>4243</v>
      </c>
      <c r="B252" s="258"/>
      <c r="C252" s="247" t="s">
        <v>111</v>
      </c>
      <c r="D252" s="292"/>
      <c r="E252" s="249">
        <v>120000</v>
      </c>
      <c r="F252" s="249">
        <f>D252*100/E252</f>
        <v>0</v>
      </c>
      <c r="G252" s="252"/>
      <c r="H252" s="252"/>
      <c r="I252" s="252"/>
      <c r="J252" s="287"/>
      <c r="K252" s="92"/>
    </row>
    <row r="253" spans="1:11" ht="12.75">
      <c r="A253" s="244">
        <v>425112</v>
      </c>
      <c r="B253" s="258"/>
      <c r="C253" s="244" t="s">
        <v>50</v>
      </c>
      <c r="D253" s="245">
        <v>10358.04</v>
      </c>
      <c r="E253" s="246"/>
      <c r="F253" s="249"/>
      <c r="G253" s="262"/>
      <c r="H253" s="262"/>
      <c r="I253" s="262"/>
      <c r="J253" s="253"/>
      <c r="K253" s="92"/>
    </row>
    <row r="254" spans="1:11" ht="12.75">
      <c r="A254" s="244">
        <v>425115</v>
      </c>
      <c r="B254" s="258"/>
      <c r="C254" s="244" t="s">
        <v>51</v>
      </c>
      <c r="D254" s="245">
        <v>11145.1</v>
      </c>
      <c r="E254" s="246"/>
      <c r="F254" s="249"/>
      <c r="G254" s="262"/>
      <c r="H254" s="262"/>
      <c r="I254" s="262"/>
      <c r="J254" s="253"/>
      <c r="K254" s="92"/>
    </row>
    <row r="255" spans="1:11" ht="12.75">
      <c r="A255" s="244">
        <v>425117</v>
      </c>
      <c r="B255" s="258"/>
      <c r="C255" s="244" t="s">
        <v>52</v>
      </c>
      <c r="D255" s="245">
        <v>15361</v>
      </c>
      <c r="E255" s="246"/>
      <c r="F255" s="249"/>
      <c r="G255" s="262"/>
      <c r="H255" s="262"/>
      <c r="I255" s="262"/>
      <c r="J255" s="253"/>
      <c r="K255" s="92"/>
    </row>
    <row r="256" spans="1:11" ht="12.75">
      <c r="A256" s="247">
        <v>4251</v>
      </c>
      <c r="B256" s="258">
        <f>D256*100/3747567.94</f>
        <v>0.9836816994437197</v>
      </c>
      <c r="C256" s="247" t="s">
        <v>112</v>
      </c>
      <c r="D256" s="248">
        <f>SUM(D251:D255)</f>
        <v>36864.14</v>
      </c>
      <c r="E256" s="249">
        <v>162000</v>
      </c>
      <c r="F256" s="249">
        <f>D256*100/E256</f>
        <v>22.75564197530864</v>
      </c>
      <c r="G256" s="252"/>
      <c r="H256" s="252"/>
      <c r="I256" s="252"/>
      <c r="J256" s="287"/>
      <c r="K256" s="92"/>
    </row>
    <row r="257" spans="1:11" ht="12.75">
      <c r="A257" s="244">
        <v>425211</v>
      </c>
      <c r="B257" s="258"/>
      <c r="C257" s="244" t="s">
        <v>53</v>
      </c>
      <c r="D257" s="245">
        <v>18172</v>
      </c>
      <c r="E257" s="246">
        <v>750000</v>
      </c>
      <c r="F257" s="246"/>
      <c r="G257" s="262"/>
      <c r="H257" s="262"/>
      <c r="I257" s="262"/>
      <c r="J257" s="253"/>
      <c r="K257" s="92"/>
    </row>
    <row r="258" spans="1:11" ht="12.75">
      <c r="A258" s="244">
        <v>425212</v>
      </c>
      <c r="B258" s="258"/>
      <c r="C258" s="244" t="s">
        <v>54</v>
      </c>
      <c r="D258" s="245"/>
      <c r="E258" s="246">
        <v>600000</v>
      </c>
      <c r="F258" s="246"/>
      <c r="G258" s="262"/>
      <c r="H258" s="262"/>
      <c r="I258" s="262"/>
      <c r="J258" s="253"/>
      <c r="K258" s="92"/>
    </row>
    <row r="259" spans="1:11" ht="12.75">
      <c r="A259" s="244">
        <v>425213</v>
      </c>
      <c r="B259" s="258"/>
      <c r="C259" s="244" t="s">
        <v>55</v>
      </c>
      <c r="D259" s="245"/>
      <c r="E259" s="246"/>
      <c r="F259" s="246"/>
      <c r="G259" s="262"/>
      <c r="H259" s="262"/>
      <c r="I259" s="262"/>
      <c r="J259" s="253"/>
      <c r="K259" s="92"/>
    </row>
    <row r="260" spans="1:11" ht="12.75">
      <c r="A260" s="244">
        <v>425222</v>
      </c>
      <c r="B260" s="258"/>
      <c r="C260" s="244" t="s">
        <v>56</v>
      </c>
      <c r="D260" s="245">
        <v>44185</v>
      </c>
      <c r="E260" s="246"/>
      <c r="F260" s="246"/>
      <c r="G260" s="262"/>
      <c r="H260" s="262"/>
      <c r="I260" s="262"/>
      <c r="J260" s="253"/>
      <c r="K260" s="92"/>
    </row>
    <row r="261" spans="1:11" ht="12.75">
      <c r="A261" s="244">
        <v>425223</v>
      </c>
      <c r="B261" s="258"/>
      <c r="C261" s="244" t="s">
        <v>57</v>
      </c>
      <c r="D261" s="245">
        <v>38550</v>
      </c>
      <c r="E261" s="246"/>
      <c r="F261" s="246"/>
      <c r="G261" s="262"/>
      <c r="H261" s="262"/>
      <c r="I261" s="262"/>
      <c r="J261" s="253"/>
      <c r="K261" s="92"/>
    </row>
    <row r="262" spans="1:11" ht="12.75">
      <c r="A262" s="244">
        <v>425225</v>
      </c>
      <c r="B262" s="258"/>
      <c r="C262" s="244" t="s">
        <v>58</v>
      </c>
      <c r="D262" s="245"/>
      <c r="E262" s="246"/>
      <c r="F262" s="246"/>
      <c r="G262" s="262"/>
      <c r="H262" s="262"/>
      <c r="I262" s="262"/>
      <c r="J262" s="253"/>
      <c r="K262" s="92"/>
    </row>
    <row r="263" spans="1:11" ht="12.75">
      <c r="A263" s="244">
        <v>425251</v>
      </c>
      <c r="B263" s="258"/>
      <c r="C263" s="244" t="s">
        <v>59</v>
      </c>
      <c r="D263" s="245"/>
      <c r="E263" s="246">
        <v>850000</v>
      </c>
      <c r="F263" s="246"/>
      <c r="G263" s="262"/>
      <c r="H263" s="262"/>
      <c r="I263" s="262"/>
      <c r="J263" s="253"/>
      <c r="K263" s="92"/>
    </row>
    <row r="264" spans="1:11" ht="12.75">
      <c r="A264" s="244">
        <v>425252</v>
      </c>
      <c r="B264" s="258"/>
      <c r="C264" s="244" t="s">
        <v>60</v>
      </c>
      <c r="D264" s="245"/>
      <c r="E264" s="246"/>
      <c r="F264" s="246"/>
      <c r="G264" s="262"/>
      <c r="H264" s="262"/>
      <c r="I264" s="262"/>
      <c r="J264" s="253"/>
      <c r="K264" s="92"/>
    </row>
    <row r="265" spans="1:11" ht="12.75">
      <c r="A265" s="238" t="s">
        <v>297</v>
      </c>
      <c r="B265" s="238"/>
      <c r="C265" s="238"/>
      <c r="D265" s="285"/>
      <c r="E265" s="285"/>
      <c r="F265" s="235"/>
      <c r="G265" s="238" t="s">
        <v>228</v>
      </c>
      <c r="H265" s="252"/>
      <c r="I265" s="252"/>
      <c r="J265" s="253"/>
      <c r="K265" s="92"/>
    </row>
    <row r="266" spans="1:11" ht="33.75">
      <c r="A266" s="239" t="s">
        <v>0</v>
      </c>
      <c r="B266" s="239" t="s">
        <v>208</v>
      </c>
      <c r="C266" s="239" t="s">
        <v>1</v>
      </c>
      <c r="D266" s="239" t="s">
        <v>197</v>
      </c>
      <c r="E266" s="267" t="s">
        <v>196</v>
      </c>
      <c r="F266" s="289" t="s">
        <v>170</v>
      </c>
      <c r="G266" s="286"/>
      <c r="H266" s="286"/>
      <c r="I266" s="286"/>
      <c r="J266" s="290"/>
      <c r="K266" s="127"/>
    </row>
    <row r="267" spans="1:11" ht="12.75">
      <c r="A267" s="244">
        <v>425281</v>
      </c>
      <c r="B267" s="244"/>
      <c r="C267" s="244" t="s">
        <v>61</v>
      </c>
      <c r="D267" s="293">
        <v>3524</v>
      </c>
      <c r="E267" s="246"/>
      <c r="F267" s="246"/>
      <c r="G267" s="262"/>
      <c r="H267" s="262"/>
      <c r="I267" s="262"/>
      <c r="J267" s="253"/>
      <c r="K267" s="92"/>
    </row>
    <row r="268" spans="1:11" ht="12.75">
      <c r="A268" s="244">
        <v>425291</v>
      </c>
      <c r="B268" s="244"/>
      <c r="C268" s="244" t="s">
        <v>62</v>
      </c>
      <c r="D268" s="293">
        <v>53686.8</v>
      </c>
      <c r="E268" s="246"/>
      <c r="F268" s="246"/>
      <c r="G268" s="262"/>
      <c r="H268" s="262"/>
      <c r="I268" s="262"/>
      <c r="J268" s="253"/>
      <c r="K268" s="92"/>
    </row>
    <row r="269" spans="1:11" ht="12.75">
      <c r="A269" s="247">
        <v>4252</v>
      </c>
      <c r="B269" s="258">
        <f>D269*100/3747567.94</f>
        <v>4.219211033169421</v>
      </c>
      <c r="C269" s="247" t="s">
        <v>113</v>
      </c>
      <c r="D269" s="294">
        <f>D257+D258+D259+D260+D261+D262+D263+D264+D267+D268</f>
        <v>158117.8</v>
      </c>
      <c r="E269" s="249">
        <f>E257+E258+E259+E260+E261+E262+E263+E264+E267+E268</f>
        <v>2200000</v>
      </c>
      <c r="F269" s="249">
        <f>D269*100/E269</f>
        <v>7.187172727272727</v>
      </c>
      <c r="G269" s="252"/>
      <c r="H269" s="252"/>
      <c r="I269" s="252"/>
      <c r="J269" s="287"/>
      <c r="K269" s="92"/>
    </row>
    <row r="270" spans="1:11" ht="12.75">
      <c r="A270" s="244">
        <v>426111</v>
      </c>
      <c r="B270" s="258"/>
      <c r="C270" s="244" t="s">
        <v>63</v>
      </c>
      <c r="D270" s="293">
        <v>439441.28</v>
      </c>
      <c r="E270" s="246"/>
      <c r="F270" s="246"/>
      <c r="G270" s="262"/>
      <c r="H270" s="262"/>
      <c r="I270" s="262"/>
      <c r="J270" s="253"/>
      <c r="K270" s="92"/>
    </row>
    <row r="271" spans="1:11" ht="12.75">
      <c r="A271" s="244">
        <v>426121</v>
      </c>
      <c r="B271" s="258"/>
      <c r="C271" s="244" t="s">
        <v>132</v>
      </c>
      <c r="D271" s="293">
        <v>8484.2</v>
      </c>
      <c r="E271" s="246"/>
      <c r="F271" s="246"/>
      <c r="G271" s="262"/>
      <c r="H271" s="262"/>
      <c r="I271" s="262"/>
      <c r="J271" s="253"/>
      <c r="K271" s="92"/>
    </row>
    <row r="272" spans="1:11" ht="12.75">
      <c r="A272" s="244">
        <v>426129</v>
      </c>
      <c r="B272" s="258"/>
      <c r="C272" s="244" t="s">
        <v>64</v>
      </c>
      <c r="D272" s="293">
        <v>5392.6</v>
      </c>
      <c r="E272" s="246"/>
      <c r="F272" s="246"/>
      <c r="G272" s="262"/>
      <c r="H272" s="262"/>
      <c r="I272" s="262"/>
      <c r="J272" s="253"/>
      <c r="K272" s="92"/>
    </row>
    <row r="273" spans="1:11" ht="12.75">
      <c r="A273" s="247">
        <v>4261</v>
      </c>
      <c r="B273" s="258">
        <f aca="true" t="shared" si="8" ref="B273:B296">D273*100/3747567.94</f>
        <v>12.096327198273556</v>
      </c>
      <c r="C273" s="247" t="s">
        <v>114</v>
      </c>
      <c r="D273" s="294">
        <f>SUM(D270:D272)</f>
        <v>453318.08</v>
      </c>
      <c r="E273" s="249">
        <v>1150000</v>
      </c>
      <c r="F273" s="249">
        <f>D273*100/E273</f>
        <v>39.41896347826087</v>
      </c>
      <c r="G273" s="252"/>
      <c r="H273" s="252"/>
      <c r="I273" s="252"/>
      <c r="J273" s="287"/>
      <c r="K273" s="92"/>
    </row>
    <row r="274" spans="1:11" ht="12.75">
      <c r="A274" s="244">
        <v>426311</v>
      </c>
      <c r="B274" s="258"/>
      <c r="C274" s="244" t="s">
        <v>65</v>
      </c>
      <c r="D274" s="293"/>
      <c r="E274" s="246"/>
      <c r="F274" s="246"/>
      <c r="G274" s="262"/>
      <c r="H274" s="262"/>
      <c r="I274" s="262"/>
      <c r="J274" s="253"/>
      <c r="K274" s="92"/>
    </row>
    <row r="275" spans="1:11" ht="12.75">
      <c r="A275" s="295">
        <v>4263</v>
      </c>
      <c r="B275" s="258"/>
      <c r="C275" s="295" t="s">
        <v>115</v>
      </c>
      <c r="D275" s="296"/>
      <c r="E275" s="246"/>
      <c r="F275" s="263"/>
      <c r="G275" s="252"/>
      <c r="H275" s="252"/>
      <c r="I275" s="252"/>
      <c r="J275" s="253"/>
      <c r="K275" s="92"/>
    </row>
    <row r="276" spans="1:11" ht="12.75">
      <c r="A276" s="244">
        <v>426491</v>
      </c>
      <c r="B276" s="258"/>
      <c r="C276" s="244" t="s">
        <v>69</v>
      </c>
      <c r="D276" s="293">
        <v>293820.82</v>
      </c>
      <c r="E276" s="246"/>
      <c r="F276" s="246"/>
      <c r="G276" s="262"/>
      <c r="H276" s="262"/>
      <c r="I276" s="262"/>
      <c r="J276" s="253"/>
      <c r="K276" s="92"/>
    </row>
    <row r="277" spans="1:11" ht="12.75">
      <c r="A277" s="247">
        <v>4264</v>
      </c>
      <c r="B277" s="258">
        <f t="shared" si="8"/>
        <v>7.840306692345116</v>
      </c>
      <c r="C277" s="247" t="s">
        <v>116</v>
      </c>
      <c r="D277" s="294">
        <f>SUM(D276)</f>
        <v>293820.82</v>
      </c>
      <c r="E277" s="249">
        <v>100000</v>
      </c>
      <c r="F277" s="249">
        <f>D277*100/E277</f>
        <v>293.82082</v>
      </c>
      <c r="G277" s="252"/>
      <c r="H277" s="252"/>
      <c r="I277" s="252"/>
      <c r="J277" s="252"/>
      <c r="K277" s="68"/>
    </row>
    <row r="278" spans="1:11" ht="12.75">
      <c r="A278" s="244">
        <v>426811</v>
      </c>
      <c r="B278" s="258"/>
      <c r="C278" s="244" t="s">
        <v>76</v>
      </c>
      <c r="D278" s="293">
        <v>60097.97</v>
      </c>
      <c r="E278" s="246"/>
      <c r="F278" s="246"/>
      <c r="G278" s="262"/>
      <c r="H278" s="262"/>
      <c r="I278" s="262"/>
      <c r="J278" s="253"/>
      <c r="K278" s="92"/>
    </row>
    <row r="279" spans="1:11" ht="12.75">
      <c r="A279" s="244">
        <v>426812</v>
      </c>
      <c r="B279" s="258"/>
      <c r="C279" s="244" t="s">
        <v>77</v>
      </c>
      <c r="D279" s="293">
        <v>16461</v>
      </c>
      <c r="E279" s="246"/>
      <c r="F279" s="246"/>
      <c r="G279" s="262"/>
      <c r="H279" s="262"/>
      <c r="I279" s="262"/>
      <c r="J279" s="253"/>
      <c r="K279" s="92"/>
    </row>
    <row r="280" spans="1:11" ht="12.75">
      <c r="A280" s="244">
        <v>426819</v>
      </c>
      <c r="B280" s="258"/>
      <c r="C280" s="244" t="s">
        <v>78</v>
      </c>
      <c r="D280" s="293"/>
      <c r="E280" s="246"/>
      <c r="F280" s="246"/>
      <c r="G280" s="262"/>
      <c r="H280" s="262"/>
      <c r="I280" s="262"/>
      <c r="J280" s="253"/>
      <c r="K280" s="92"/>
    </row>
    <row r="281" spans="1:11" ht="12.75">
      <c r="A281" s="247">
        <v>4268</v>
      </c>
      <c r="B281" s="258">
        <f t="shared" si="8"/>
        <v>2.042897453114619</v>
      </c>
      <c r="C281" s="247" t="s">
        <v>118</v>
      </c>
      <c r="D281" s="294">
        <f>SUM(D278:D280)</f>
        <v>76558.97</v>
      </c>
      <c r="E281" s="249">
        <v>300000</v>
      </c>
      <c r="F281" s="249">
        <f>D281*100/E281</f>
        <v>25.519656666666666</v>
      </c>
      <c r="G281" s="252"/>
      <c r="H281" s="252"/>
      <c r="I281" s="252"/>
      <c r="J281" s="287"/>
      <c r="K281" s="92"/>
    </row>
    <row r="282" spans="1:11" ht="12.75">
      <c r="A282" s="244">
        <v>426911</v>
      </c>
      <c r="B282" s="258"/>
      <c r="C282" s="244" t="s">
        <v>79</v>
      </c>
      <c r="D282" s="293">
        <f>1358+16583.72</f>
        <v>17941.72</v>
      </c>
      <c r="E282" s="246"/>
      <c r="F282" s="246"/>
      <c r="G282" s="262"/>
      <c r="H282" s="262"/>
      <c r="I282" s="262"/>
      <c r="J282" s="253"/>
      <c r="K282" s="92"/>
    </row>
    <row r="283" spans="1:11" ht="12.75">
      <c r="A283" s="244">
        <v>426913</v>
      </c>
      <c r="B283" s="258"/>
      <c r="C283" s="244" t="s">
        <v>80</v>
      </c>
      <c r="D283" s="293">
        <v>83536</v>
      </c>
      <c r="E283" s="246"/>
      <c r="F283" s="246"/>
      <c r="G283" s="262"/>
      <c r="H283" s="262"/>
      <c r="I283" s="262"/>
      <c r="J283" s="253"/>
      <c r="K283" s="92"/>
    </row>
    <row r="284" spans="1:11" ht="12.75">
      <c r="A284" s="247">
        <v>4269</v>
      </c>
      <c r="B284" s="258">
        <f t="shared" si="8"/>
        <v>2.707828693827496</v>
      </c>
      <c r="C284" s="247" t="s">
        <v>119</v>
      </c>
      <c r="D284" s="294">
        <f>SUM(D282:D283)</f>
        <v>101477.72</v>
      </c>
      <c r="E284" s="249">
        <f>SUM(E282:E283)</f>
        <v>0</v>
      </c>
      <c r="F284" s="249"/>
      <c r="G284" s="252"/>
      <c r="H284" s="252"/>
      <c r="I284" s="252"/>
      <c r="J284" s="287"/>
      <c r="K284" s="92"/>
    </row>
    <row r="285" spans="1:11" ht="12.75">
      <c r="A285" s="244">
        <v>431111</v>
      </c>
      <c r="B285" s="258">
        <f t="shared" si="8"/>
        <v>0</v>
      </c>
      <c r="C285" s="244" t="s">
        <v>82</v>
      </c>
      <c r="D285" s="293"/>
      <c r="E285" s="246"/>
      <c r="F285" s="246"/>
      <c r="G285" s="262"/>
      <c r="H285" s="262"/>
      <c r="I285" s="262"/>
      <c r="J285" s="253"/>
      <c r="K285" s="92"/>
    </row>
    <row r="286" spans="1:11" ht="12.75">
      <c r="A286" s="247">
        <v>4311</v>
      </c>
      <c r="B286" s="258">
        <f t="shared" si="8"/>
        <v>0</v>
      </c>
      <c r="C286" s="247" t="s">
        <v>83</v>
      </c>
      <c r="D286" s="294"/>
      <c r="E286" s="246"/>
      <c r="F286" s="263"/>
      <c r="G286" s="252"/>
      <c r="H286" s="252"/>
      <c r="I286" s="252"/>
      <c r="J286" s="253"/>
      <c r="K286" s="92"/>
    </row>
    <row r="287" spans="1:11" ht="12.75">
      <c r="A287" s="244">
        <v>431211</v>
      </c>
      <c r="B287" s="258">
        <f t="shared" si="8"/>
        <v>0</v>
      </c>
      <c r="C287" s="244" t="s">
        <v>84</v>
      </c>
      <c r="D287" s="293"/>
      <c r="E287" s="246"/>
      <c r="F287" s="246"/>
      <c r="G287" s="262"/>
      <c r="H287" s="262"/>
      <c r="I287" s="262"/>
      <c r="J287" s="253"/>
      <c r="K287" s="92"/>
    </row>
    <row r="288" spans="1:11" ht="12.75">
      <c r="A288" s="247">
        <v>4312</v>
      </c>
      <c r="B288" s="258">
        <f t="shared" si="8"/>
        <v>0</v>
      </c>
      <c r="C288" s="247" t="s">
        <v>84</v>
      </c>
      <c r="D288" s="294"/>
      <c r="E288" s="246"/>
      <c r="F288" s="263"/>
      <c r="G288" s="252"/>
      <c r="H288" s="252"/>
      <c r="I288" s="252"/>
      <c r="J288" s="253"/>
      <c r="K288" s="92"/>
    </row>
    <row r="289" spans="1:11" ht="12.75">
      <c r="A289" s="244">
        <v>444211</v>
      </c>
      <c r="B289" s="258">
        <f t="shared" si="8"/>
        <v>0</v>
      </c>
      <c r="C289" s="244" t="s">
        <v>85</v>
      </c>
      <c r="D289" s="293"/>
      <c r="E289" s="246"/>
      <c r="F289" s="246"/>
      <c r="G289" s="262"/>
      <c r="H289" s="262"/>
      <c r="I289" s="262"/>
      <c r="J289" s="253"/>
      <c r="K289" s="92"/>
    </row>
    <row r="290" spans="1:11" ht="12.75">
      <c r="A290" s="247">
        <v>4442</v>
      </c>
      <c r="B290" s="258">
        <f t="shared" si="8"/>
        <v>0</v>
      </c>
      <c r="C290" s="247" t="s">
        <v>85</v>
      </c>
      <c r="D290" s="294"/>
      <c r="E290" s="246"/>
      <c r="F290" s="263"/>
      <c r="G290" s="252"/>
      <c r="H290" s="252"/>
      <c r="I290" s="252"/>
      <c r="J290" s="253"/>
      <c r="K290" s="92"/>
    </row>
    <row r="291" spans="1:11" ht="12.75">
      <c r="A291" s="244">
        <v>482131</v>
      </c>
      <c r="B291" s="258"/>
      <c r="C291" s="244" t="s">
        <v>86</v>
      </c>
      <c r="D291" s="293">
        <v>3142.5</v>
      </c>
      <c r="E291" s="246"/>
      <c r="F291" s="246"/>
      <c r="G291" s="262"/>
      <c r="H291" s="262"/>
      <c r="I291" s="262"/>
      <c r="J291" s="253"/>
      <c r="K291" s="92"/>
    </row>
    <row r="292" spans="1:11" ht="12.75">
      <c r="A292" s="247">
        <v>4821</v>
      </c>
      <c r="B292" s="258">
        <f t="shared" si="8"/>
        <v>0.08385438370464873</v>
      </c>
      <c r="C292" s="247" t="s">
        <v>87</v>
      </c>
      <c r="D292" s="294">
        <f>SUM(D291)</f>
        <v>3142.5</v>
      </c>
      <c r="E292" s="246"/>
      <c r="F292" s="263"/>
      <c r="G292" s="252"/>
      <c r="H292" s="252"/>
      <c r="I292" s="252"/>
      <c r="J292" s="253"/>
      <c r="K292" s="92"/>
    </row>
    <row r="293" spans="1:11" ht="12.75">
      <c r="A293" s="244">
        <v>482211</v>
      </c>
      <c r="B293" s="258"/>
      <c r="C293" s="244" t="s">
        <v>88</v>
      </c>
      <c r="D293" s="293"/>
      <c r="E293" s="246"/>
      <c r="F293" s="246"/>
      <c r="G293" s="262"/>
      <c r="H293" s="262"/>
      <c r="I293" s="262"/>
      <c r="J293" s="253"/>
      <c r="K293" s="92"/>
    </row>
    <row r="294" spans="1:11" ht="12.75">
      <c r="A294" s="241">
        <v>482241</v>
      </c>
      <c r="B294" s="258"/>
      <c r="C294" s="241" t="s">
        <v>91</v>
      </c>
      <c r="D294" s="297">
        <v>40399</v>
      </c>
      <c r="E294" s="246"/>
      <c r="F294" s="246"/>
      <c r="G294" s="262"/>
      <c r="H294" s="262"/>
      <c r="I294" s="262"/>
      <c r="J294" s="253"/>
      <c r="K294" s="92"/>
    </row>
    <row r="295" spans="1:11" ht="12.75">
      <c r="A295" s="244">
        <v>482251</v>
      </c>
      <c r="B295" s="258"/>
      <c r="C295" s="244" t="s">
        <v>89</v>
      </c>
      <c r="D295" s="293">
        <v>6070</v>
      </c>
      <c r="E295" s="246"/>
      <c r="F295" s="246"/>
      <c r="G295" s="262"/>
      <c r="H295" s="262"/>
      <c r="I295" s="262"/>
      <c r="J295" s="253"/>
      <c r="K295" s="122"/>
    </row>
    <row r="296" spans="1:11" ht="12.75">
      <c r="A296" s="247">
        <v>4822</v>
      </c>
      <c r="B296" s="258">
        <f t="shared" si="8"/>
        <v>1.2399775199272305</v>
      </c>
      <c r="C296" s="247" t="s">
        <v>90</v>
      </c>
      <c r="D296" s="294">
        <f>SUM(D293:D295)</f>
        <v>46469</v>
      </c>
      <c r="E296" s="246"/>
      <c r="F296" s="263"/>
      <c r="G296" s="252"/>
      <c r="H296" s="252"/>
      <c r="I296" s="252"/>
      <c r="J296" s="253"/>
      <c r="K296" s="122"/>
    </row>
    <row r="297" spans="1:11" ht="12.75">
      <c r="A297" s="247"/>
      <c r="B297" s="247"/>
      <c r="C297" s="247" t="s">
        <v>187</v>
      </c>
      <c r="D297" s="294"/>
      <c r="E297" s="249">
        <v>2200000</v>
      </c>
      <c r="F297" s="263"/>
      <c r="G297" s="252"/>
      <c r="H297" s="252"/>
      <c r="I297" s="252"/>
      <c r="J297" s="287"/>
      <c r="K297" s="122"/>
    </row>
    <row r="298" spans="1:11" ht="12.75">
      <c r="A298" s="247"/>
      <c r="B298" s="263">
        <f>D298*100/99312441.37</f>
        <v>2.108558203899484</v>
      </c>
      <c r="C298" s="247" t="s">
        <v>180</v>
      </c>
      <c r="D298" s="294">
        <f>D299+D300+D301+D302+D303</f>
        <v>2094060.63</v>
      </c>
      <c r="E298" s="249">
        <v>14025000</v>
      </c>
      <c r="F298" s="258">
        <f>D298*100/E298</f>
        <v>14.930913582887701</v>
      </c>
      <c r="G298" s="252"/>
      <c r="H298" s="252"/>
      <c r="I298" s="252"/>
      <c r="J298" s="252"/>
      <c r="K298" s="122"/>
    </row>
    <row r="299" spans="1:11" ht="12.75">
      <c r="A299" s="244">
        <v>421211</v>
      </c>
      <c r="B299" s="246">
        <f>D299*100/2094060.63</f>
        <v>29.819691992394706</v>
      </c>
      <c r="C299" s="244" t="s">
        <v>23</v>
      </c>
      <c r="D299" s="293">
        <v>624442.43</v>
      </c>
      <c r="E299" s="246">
        <v>3000000</v>
      </c>
      <c r="F299" s="246">
        <f>D299*100/E299</f>
        <v>20.81474766666667</v>
      </c>
      <c r="G299" s="262"/>
      <c r="H299" s="262"/>
      <c r="I299" s="262"/>
      <c r="J299" s="253"/>
      <c r="K299" s="125"/>
    </row>
    <row r="300" spans="1:11" ht="12.75">
      <c r="A300" s="244">
        <v>421225</v>
      </c>
      <c r="B300" s="246">
        <f>D300*100/2094060.63</f>
        <v>1.9731138348176671</v>
      </c>
      <c r="C300" s="244" t="s">
        <v>24</v>
      </c>
      <c r="D300" s="293">
        <v>41318.2</v>
      </c>
      <c r="E300" s="246">
        <v>4000000</v>
      </c>
      <c r="F300" s="246">
        <f>D300*100/E300</f>
        <v>1.0329549999999998</v>
      </c>
      <c r="G300" s="262"/>
      <c r="H300" s="262"/>
      <c r="I300" s="262"/>
      <c r="J300" s="253"/>
      <c r="K300" s="125"/>
    </row>
    <row r="301" spans="1:11" ht="12.75">
      <c r="A301" s="259">
        <v>426411</v>
      </c>
      <c r="B301" s="246">
        <f>D301*100/2094060.63</f>
        <v>58.6563723324477</v>
      </c>
      <c r="C301" s="259" t="s">
        <v>66</v>
      </c>
      <c r="D301" s="298">
        <v>1228300</v>
      </c>
      <c r="E301" s="246">
        <v>7025000</v>
      </c>
      <c r="F301" s="246">
        <f>D301*100/E301</f>
        <v>17.484697508896797</v>
      </c>
      <c r="G301" s="262"/>
      <c r="H301" s="262"/>
      <c r="I301" s="262"/>
      <c r="J301" s="253"/>
      <c r="K301" s="122"/>
    </row>
    <row r="302" spans="1:11" ht="12.75">
      <c r="A302" s="244">
        <v>426412</v>
      </c>
      <c r="B302" s="246">
        <f>D302*100/2094060.63</f>
        <v>9.550821840339934</v>
      </c>
      <c r="C302" s="244" t="s">
        <v>67</v>
      </c>
      <c r="D302" s="293">
        <v>200000</v>
      </c>
      <c r="E302" s="246"/>
      <c r="F302" s="246"/>
      <c r="G302" s="262"/>
      <c r="H302" s="262"/>
      <c r="I302" s="262"/>
      <c r="J302" s="253"/>
      <c r="K302" s="122"/>
    </row>
    <row r="303" spans="1:11" ht="12.75">
      <c r="A303" s="244">
        <v>426413</v>
      </c>
      <c r="B303" s="246">
        <f>D303*100/2094060.63</f>
        <v>0</v>
      </c>
      <c r="C303" s="244" t="s">
        <v>68</v>
      </c>
      <c r="D303" s="293"/>
      <c r="E303" s="246"/>
      <c r="F303" s="246"/>
      <c r="G303" s="262"/>
      <c r="H303" s="262"/>
      <c r="I303" s="262"/>
      <c r="J303" s="253"/>
      <c r="K303" s="122"/>
    </row>
    <row r="304" spans="1:11" ht="12.75">
      <c r="A304" s="254"/>
      <c r="B304" s="254"/>
      <c r="C304" s="254"/>
      <c r="D304" s="262"/>
      <c r="E304" s="253"/>
      <c r="F304" s="253"/>
      <c r="G304" s="262"/>
      <c r="H304" s="262"/>
      <c r="I304" s="262"/>
      <c r="J304" s="253"/>
      <c r="K304" s="122"/>
    </row>
    <row r="305" spans="1:11" ht="12.75">
      <c r="A305" s="254"/>
      <c r="B305" s="254"/>
      <c r="C305" s="254"/>
      <c r="D305" s="262"/>
      <c r="E305" s="253"/>
      <c r="F305" s="253"/>
      <c r="G305" s="262"/>
      <c r="H305" s="262"/>
      <c r="I305" s="262"/>
      <c r="J305" s="253"/>
      <c r="K305" s="122"/>
    </row>
    <row r="306" spans="1:11" ht="12.75">
      <c r="A306" s="254"/>
      <c r="B306" s="254"/>
      <c r="C306" s="254"/>
      <c r="D306" s="262"/>
      <c r="E306" s="253"/>
      <c r="F306" s="253"/>
      <c r="G306" s="262"/>
      <c r="H306" s="262"/>
      <c r="I306" s="262"/>
      <c r="J306" s="253"/>
      <c r="K306" s="122"/>
    </row>
    <row r="307" spans="1:11" ht="12.75">
      <c r="A307" s="254"/>
      <c r="B307" s="254"/>
      <c r="C307" s="254"/>
      <c r="D307" s="262"/>
      <c r="E307" s="253"/>
      <c r="F307" s="253"/>
      <c r="G307" s="262"/>
      <c r="H307" s="262"/>
      <c r="I307" s="262"/>
      <c r="J307" s="253"/>
      <c r="K307" s="122"/>
    </row>
    <row r="308" spans="1:11" ht="12.75">
      <c r="A308" s="254"/>
      <c r="B308" s="254"/>
      <c r="C308" s="254"/>
      <c r="D308" s="262"/>
      <c r="E308" s="253"/>
      <c r="F308" s="253"/>
      <c r="G308" s="262"/>
      <c r="H308" s="262"/>
      <c r="I308" s="262"/>
      <c r="J308" s="253"/>
      <c r="K308" s="122"/>
    </row>
    <row r="309" spans="1:11" ht="12.75">
      <c r="A309" s="238" t="s">
        <v>297</v>
      </c>
      <c r="B309" s="238"/>
      <c r="C309" s="238"/>
      <c r="D309" s="285"/>
      <c r="E309" s="285"/>
      <c r="F309" s="235"/>
      <c r="G309" s="238" t="s">
        <v>229</v>
      </c>
      <c r="H309" s="262"/>
      <c r="I309" s="262"/>
      <c r="J309" s="253"/>
      <c r="K309" s="122"/>
    </row>
    <row r="310" spans="1:11" ht="33.75">
      <c r="A310" s="239" t="s">
        <v>0</v>
      </c>
      <c r="B310" s="239" t="s">
        <v>208</v>
      </c>
      <c r="C310" s="239" t="s">
        <v>1</v>
      </c>
      <c r="D310" s="239" t="s">
        <v>197</v>
      </c>
      <c r="E310" s="267" t="s">
        <v>196</v>
      </c>
      <c r="F310" s="289" t="s">
        <v>170</v>
      </c>
      <c r="G310" s="262"/>
      <c r="H310" s="262"/>
      <c r="I310" s="262"/>
      <c r="J310" s="253"/>
      <c r="K310" s="122"/>
    </row>
    <row r="311" spans="1:11" ht="12.75">
      <c r="A311" s="264"/>
      <c r="B311" s="264"/>
      <c r="C311" s="264" t="s">
        <v>181</v>
      </c>
      <c r="D311" s="245"/>
      <c r="E311" s="246"/>
      <c r="F311" s="246"/>
      <c r="G311" s="262"/>
      <c r="H311" s="262"/>
      <c r="I311" s="262"/>
      <c r="J311" s="253"/>
      <c r="K311" s="122"/>
    </row>
    <row r="312" spans="1:11" ht="12.75">
      <c r="A312" s="264"/>
      <c r="B312" s="249">
        <f>D312*100/99312441.37</f>
        <v>1.3650264974852464</v>
      </c>
      <c r="C312" s="264" t="s">
        <v>182</v>
      </c>
      <c r="D312" s="281">
        <f>D313+D314+D315+D316</f>
        <v>1355641.14</v>
      </c>
      <c r="E312" s="249">
        <v>5356000</v>
      </c>
      <c r="F312" s="249">
        <f>D312*100/E312</f>
        <v>25.310700896191186</v>
      </c>
      <c r="G312" s="262"/>
      <c r="H312" s="262"/>
      <c r="I312" s="262"/>
      <c r="J312" s="253"/>
      <c r="K312" s="122"/>
    </row>
    <row r="313" spans="1:11" ht="12.75">
      <c r="A313" s="244">
        <v>4267111</v>
      </c>
      <c r="B313" s="258">
        <f>D313*100/1355641.14</f>
        <v>10.32773319346151</v>
      </c>
      <c r="C313" s="244" t="s">
        <v>70</v>
      </c>
      <c r="D313" s="245">
        <v>140007</v>
      </c>
      <c r="E313" s="246"/>
      <c r="F313" s="246"/>
      <c r="G313" s="262"/>
      <c r="H313" s="262"/>
      <c r="I313" s="262"/>
      <c r="J313" s="253"/>
      <c r="K313" s="122"/>
    </row>
    <row r="314" spans="1:11" ht="12.75">
      <c r="A314" s="244">
        <v>4267112</v>
      </c>
      <c r="B314" s="258">
        <f>D314*100/1355641.14</f>
        <v>28.28470298562937</v>
      </c>
      <c r="C314" s="244" t="s">
        <v>71</v>
      </c>
      <c r="D314" s="245">
        <v>383439.07</v>
      </c>
      <c r="E314" s="246"/>
      <c r="F314" s="246"/>
      <c r="G314" s="262"/>
      <c r="H314" s="262"/>
      <c r="I314" s="262"/>
      <c r="J314" s="253"/>
      <c r="K314" s="122"/>
    </row>
    <row r="315" spans="1:11" ht="12.75">
      <c r="A315" s="244">
        <v>4267113</v>
      </c>
      <c r="B315" s="258">
        <f>D315*100/1355641.14</f>
        <v>0</v>
      </c>
      <c r="C315" s="244" t="s">
        <v>72</v>
      </c>
      <c r="D315" s="245"/>
      <c r="E315" s="246"/>
      <c r="F315" s="246"/>
      <c r="G315" s="262"/>
      <c r="H315" s="262"/>
      <c r="I315" s="262"/>
      <c r="J315" s="253"/>
      <c r="K315" s="122"/>
    </row>
    <row r="316" spans="1:11" ht="12.75">
      <c r="A316" s="244">
        <v>426721</v>
      </c>
      <c r="B316" s="258">
        <f>D316*100/1355641.14</f>
        <v>61.38756382090913</v>
      </c>
      <c r="C316" s="244" t="s">
        <v>73</v>
      </c>
      <c r="D316" s="245">
        <v>832195.07</v>
      </c>
      <c r="E316" s="246"/>
      <c r="F316" s="246"/>
      <c r="G316" s="262"/>
      <c r="H316" s="262"/>
      <c r="I316" s="262"/>
      <c r="J316" s="253"/>
      <c r="K316" s="122"/>
    </row>
    <row r="317" spans="1:11" ht="12.75">
      <c r="A317" s="244"/>
      <c r="B317" s="249">
        <f>D317*100/99312441.37</f>
        <v>1.531459572455378</v>
      </c>
      <c r="C317" s="264" t="s">
        <v>183</v>
      </c>
      <c r="D317" s="281">
        <f>D318+D319</f>
        <v>1520929.8900000001</v>
      </c>
      <c r="E317" s="249">
        <v>5965000</v>
      </c>
      <c r="F317" s="249">
        <f>D317*100/E317</f>
        <v>25.497567309304277</v>
      </c>
      <c r="G317" s="262"/>
      <c r="H317" s="262"/>
      <c r="I317" s="262"/>
      <c r="J317" s="253"/>
      <c r="K317" s="122"/>
    </row>
    <row r="318" spans="1:11" ht="12.75">
      <c r="A318" s="244">
        <v>4267510</v>
      </c>
      <c r="B318" s="246">
        <f>D318*100/1520929.89</f>
        <v>75.19485727248086</v>
      </c>
      <c r="C318" s="244" t="s">
        <v>75</v>
      </c>
      <c r="D318" s="245">
        <v>1143661.06</v>
      </c>
      <c r="E318" s="246"/>
      <c r="F318" s="246"/>
      <c r="G318" s="262"/>
      <c r="H318" s="262"/>
      <c r="I318" s="262"/>
      <c r="J318" s="253"/>
      <c r="K318" s="122"/>
    </row>
    <row r="319" spans="1:11" ht="12.75">
      <c r="A319" s="244">
        <v>4267511</v>
      </c>
      <c r="B319" s="246">
        <f>D319*100/1520929.89</f>
        <v>24.80514272751915</v>
      </c>
      <c r="C319" s="244" t="s">
        <v>74</v>
      </c>
      <c r="D319" s="245">
        <v>377268.83</v>
      </c>
      <c r="E319" s="246"/>
      <c r="F319" s="246"/>
      <c r="G319" s="262"/>
      <c r="H319" s="262"/>
      <c r="I319" s="262"/>
      <c r="J319" s="253"/>
      <c r="K319" s="122"/>
    </row>
    <row r="320" spans="1:11" ht="12.75">
      <c r="A320" s="244"/>
      <c r="B320" s="246"/>
      <c r="C320" s="264" t="s">
        <v>230</v>
      </c>
      <c r="D320" s="281"/>
      <c r="E320" s="249">
        <v>29034000</v>
      </c>
      <c r="F320" s="249"/>
      <c r="G320" s="262"/>
      <c r="H320" s="262"/>
      <c r="I320" s="262"/>
      <c r="J320" s="253"/>
      <c r="K320" s="122"/>
    </row>
    <row r="321" spans="1:11" ht="12.75">
      <c r="A321" s="244"/>
      <c r="B321" s="264">
        <v>100</v>
      </c>
      <c r="C321" s="247" t="s">
        <v>134</v>
      </c>
      <c r="D321" s="248">
        <f>D317+D312+D298+D197+D196+D193</f>
        <v>99312441.37</v>
      </c>
      <c r="E321" s="248">
        <f>E317+E312+E298+E197+E196+E193</f>
        <v>259283000</v>
      </c>
      <c r="F321" s="248">
        <f>D321*100/E321</f>
        <v>38.30271995078736</v>
      </c>
      <c r="G321" s="252"/>
      <c r="H321" s="252"/>
      <c r="I321" s="252"/>
      <c r="J321" s="252"/>
      <c r="K321" s="113"/>
    </row>
    <row r="322" spans="1:11" ht="12.75">
      <c r="A322" s="254"/>
      <c r="B322" s="254"/>
      <c r="C322" s="247" t="s">
        <v>198</v>
      </c>
      <c r="D322" s="248">
        <v>1633750</v>
      </c>
      <c r="E322" s="263">
        <f>4915000+134000</f>
        <v>5049000</v>
      </c>
      <c r="F322" s="248">
        <f>D322*100/E322</f>
        <v>32.3578926520103</v>
      </c>
      <c r="G322" s="252"/>
      <c r="H322" s="252"/>
      <c r="I322" s="252"/>
      <c r="J322" s="253"/>
      <c r="K322" s="92"/>
    </row>
    <row r="323" spans="1:11" ht="12.75">
      <c r="A323" s="254"/>
      <c r="B323" s="254"/>
      <c r="C323" s="247" t="s">
        <v>199</v>
      </c>
      <c r="D323" s="248">
        <f>D321-D322</f>
        <v>97678691.37</v>
      </c>
      <c r="E323" s="248">
        <f>E321-E322</f>
        <v>254234000</v>
      </c>
      <c r="F323" s="248">
        <f>D323*100/E323</f>
        <v>38.420782180982876</v>
      </c>
      <c r="G323" s="252"/>
      <c r="H323" s="252"/>
      <c r="I323" s="252"/>
      <c r="J323" s="252"/>
      <c r="K323" s="92"/>
    </row>
    <row r="324" spans="1:11" ht="12.75">
      <c r="A324" s="254"/>
      <c r="B324" s="254"/>
      <c r="C324" s="251"/>
      <c r="D324" s="252"/>
      <c r="E324" s="252"/>
      <c r="F324" s="252"/>
      <c r="G324" s="252"/>
      <c r="H324" s="252"/>
      <c r="I324" s="252"/>
      <c r="J324" s="252"/>
      <c r="K324" s="92"/>
    </row>
    <row r="325" spans="1:11" ht="12.75">
      <c r="A325" s="254"/>
      <c r="B325" s="254"/>
      <c r="C325" s="251"/>
      <c r="D325" s="252"/>
      <c r="E325" s="252"/>
      <c r="F325" s="252"/>
      <c r="G325" s="252"/>
      <c r="H325" s="252"/>
      <c r="I325" s="252"/>
      <c r="J325" s="252"/>
      <c r="K325" s="92"/>
    </row>
    <row r="326" spans="1:11" ht="12.75">
      <c r="A326" s="254"/>
      <c r="B326" s="254"/>
      <c r="C326" s="251"/>
      <c r="D326" s="252"/>
      <c r="E326" s="252"/>
      <c r="F326" s="252"/>
      <c r="G326" s="252"/>
      <c r="H326" s="252"/>
      <c r="I326" s="252"/>
      <c r="J326" s="252"/>
      <c r="K326" s="92"/>
    </row>
    <row r="327" spans="1:11" ht="12.75">
      <c r="A327" s="254"/>
      <c r="B327" s="254"/>
      <c r="C327" s="251"/>
      <c r="D327" s="252"/>
      <c r="E327" s="252"/>
      <c r="F327" s="252"/>
      <c r="G327" s="252"/>
      <c r="H327" s="252"/>
      <c r="I327" s="252"/>
      <c r="J327" s="252"/>
      <c r="K327" s="92"/>
    </row>
    <row r="328" spans="1:11" ht="12.75">
      <c r="A328" s="254"/>
      <c r="B328" s="254"/>
      <c r="C328" s="251"/>
      <c r="D328" s="252"/>
      <c r="E328" s="252"/>
      <c r="F328" s="252"/>
      <c r="G328" s="252"/>
      <c r="H328" s="252"/>
      <c r="I328" s="252"/>
      <c r="J328" s="252"/>
      <c r="K328" s="92"/>
    </row>
    <row r="329" spans="1:11" ht="12.75">
      <c r="A329" s="254"/>
      <c r="B329" s="254"/>
      <c r="C329" s="251"/>
      <c r="D329" s="252"/>
      <c r="E329" s="252"/>
      <c r="F329" s="252"/>
      <c r="G329" s="252"/>
      <c r="H329" s="252"/>
      <c r="I329" s="252"/>
      <c r="J329" s="252"/>
      <c r="K329" s="92"/>
    </row>
    <row r="330" spans="1:11" ht="12.75">
      <c r="A330" s="254"/>
      <c r="B330" s="254"/>
      <c r="C330" s="251"/>
      <c r="D330" s="252"/>
      <c r="E330" s="252"/>
      <c r="F330" s="252"/>
      <c r="G330" s="252"/>
      <c r="H330" s="252"/>
      <c r="I330" s="252"/>
      <c r="J330" s="252"/>
      <c r="K330" s="92"/>
    </row>
    <row r="331" spans="1:11" ht="12.75">
      <c r="A331" s="254"/>
      <c r="B331" s="254"/>
      <c r="C331" s="251"/>
      <c r="D331" s="252"/>
      <c r="E331" s="252"/>
      <c r="F331" s="252"/>
      <c r="G331" s="252"/>
      <c r="H331" s="252"/>
      <c r="I331" s="252"/>
      <c r="J331" s="252"/>
      <c r="K331" s="92"/>
    </row>
    <row r="332" spans="1:11" ht="12.75">
      <c r="A332" s="254"/>
      <c r="B332" s="254"/>
      <c r="C332" s="251"/>
      <c r="D332" s="252"/>
      <c r="E332" s="252"/>
      <c r="F332" s="252"/>
      <c r="G332" s="252"/>
      <c r="H332" s="252"/>
      <c r="I332" s="252"/>
      <c r="J332" s="252"/>
      <c r="K332" s="92"/>
    </row>
    <row r="333" spans="1:11" ht="12.75">
      <c r="A333" s="254"/>
      <c r="B333" s="254"/>
      <c r="C333" s="251"/>
      <c r="D333" s="252"/>
      <c r="E333" s="252"/>
      <c r="F333" s="252"/>
      <c r="G333" s="252"/>
      <c r="H333" s="252"/>
      <c r="I333" s="252"/>
      <c r="J333" s="252"/>
      <c r="K333" s="92"/>
    </row>
    <row r="334" spans="1:11" ht="12.75">
      <c r="A334" s="254"/>
      <c r="B334" s="254"/>
      <c r="C334" s="251"/>
      <c r="D334" s="252"/>
      <c r="E334" s="252"/>
      <c r="F334" s="252"/>
      <c r="G334" s="252"/>
      <c r="H334" s="252"/>
      <c r="I334" s="252"/>
      <c r="J334" s="252"/>
      <c r="K334" s="92"/>
    </row>
    <row r="335" spans="1:11" ht="12.75">
      <c r="A335" s="254"/>
      <c r="B335" s="254"/>
      <c r="C335" s="251"/>
      <c r="D335" s="252"/>
      <c r="E335" s="252"/>
      <c r="F335" s="252"/>
      <c r="G335" s="252"/>
      <c r="H335" s="252"/>
      <c r="I335" s="252"/>
      <c r="J335" s="252"/>
      <c r="K335" s="92"/>
    </row>
    <row r="336" spans="1:11" ht="12.75">
      <c r="A336" s="254"/>
      <c r="B336" s="254"/>
      <c r="C336" s="251"/>
      <c r="D336" s="252"/>
      <c r="E336" s="252"/>
      <c r="F336" s="252"/>
      <c r="G336" s="252"/>
      <c r="H336" s="252"/>
      <c r="I336" s="252"/>
      <c r="J336" s="252"/>
      <c r="K336" s="92"/>
    </row>
    <row r="337" spans="1:11" ht="12.75">
      <c r="A337" s="254"/>
      <c r="B337" s="254"/>
      <c r="C337" s="251"/>
      <c r="D337" s="252"/>
      <c r="E337" s="252"/>
      <c r="F337" s="252"/>
      <c r="G337" s="252"/>
      <c r="H337" s="252"/>
      <c r="I337" s="252"/>
      <c r="J337" s="252"/>
      <c r="K337" s="92"/>
    </row>
    <row r="338" spans="1:11" ht="12.75">
      <c r="A338" s="254"/>
      <c r="B338" s="254"/>
      <c r="C338" s="251"/>
      <c r="D338" s="252"/>
      <c r="E338" s="252"/>
      <c r="F338" s="252"/>
      <c r="G338" s="252"/>
      <c r="H338" s="252"/>
      <c r="I338" s="252"/>
      <c r="J338" s="252"/>
      <c r="K338" s="92"/>
    </row>
    <row r="339" spans="1:11" ht="12.75">
      <c r="A339" s="254"/>
      <c r="B339" s="254"/>
      <c r="C339" s="251"/>
      <c r="D339" s="252"/>
      <c r="E339" s="252"/>
      <c r="F339" s="252"/>
      <c r="G339" s="252"/>
      <c r="H339" s="252"/>
      <c r="I339" s="252"/>
      <c r="J339" s="252"/>
      <c r="K339" s="92"/>
    </row>
    <row r="340" spans="1:11" ht="12.75">
      <c r="A340" s="254"/>
      <c r="B340" s="254"/>
      <c r="C340" s="251"/>
      <c r="D340" s="252"/>
      <c r="E340" s="252"/>
      <c r="F340" s="252"/>
      <c r="G340" s="252"/>
      <c r="H340" s="252"/>
      <c r="I340" s="252"/>
      <c r="J340" s="252"/>
      <c r="K340" s="92"/>
    </row>
    <row r="341" spans="1:11" ht="12.75">
      <c r="A341" s="254"/>
      <c r="B341" s="254"/>
      <c r="C341" s="251"/>
      <c r="D341" s="252"/>
      <c r="E341" s="252"/>
      <c r="F341" s="252"/>
      <c r="G341" s="252"/>
      <c r="H341" s="252"/>
      <c r="I341" s="252"/>
      <c r="J341" s="252"/>
      <c r="K341" s="92"/>
    </row>
    <row r="342" spans="1:11" ht="12.75">
      <c r="A342" s="254"/>
      <c r="B342" s="254"/>
      <c r="C342" s="251"/>
      <c r="D342" s="252"/>
      <c r="E342" s="252"/>
      <c r="F342" s="252"/>
      <c r="G342" s="252"/>
      <c r="H342" s="252"/>
      <c r="I342" s="252"/>
      <c r="J342" s="252"/>
      <c r="K342" s="92"/>
    </row>
    <row r="343" spans="1:11" ht="12.75">
      <c r="A343" s="254"/>
      <c r="B343" s="254"/>
      <c r="C343" s="251"/>
      <c r="D343" s="252"/>
      <c r="E343" s="252"/>
      <c r="F343" s="252"/>
      <c r="G343" s="252"/>
      <c r="H343" s="252"/>
      <c r="I343" s="252"/>
      <c r="J343" s="252"/>
      <c r="K343" s="92"/>
    </row>
    <row r="344" spans="1:11" ht="12.75">
      <c r="A344" s="254"/>
      <c r="B344" s="254"/>
      <c r="C344" s="251"/>
      <c r="D344" s="252"/>
      <c r="E344" s="252"/>
      <c r="F344" s="252"/>
      <c r="G344" s="252"/>
      <c r="H344" s="252"/>
      <c r="I344" s="252"/>
      <c r="J344" s="252"/>
      <c r="K344" s="92"/>
    </row>
    <row r="345" spans="1:11" ht="12.75">
      <c r="A345" s="254"/>
      <c r="B345" s="254"/>
      <c r="C345" s="251"/>
      <c r="D345" s="252"/>
      <c r="E345" s="252"/>
      <c r="F345" s="252"/>
      <c r="G345" s="252"/>
      <c r="H345" s="252"/>
      <c r="I345" s="252"/>
      <c r="J345" s="252"/>
      <c r="K345" s="92"/>
    </row>
    <row r="346" spans="1:11" ht="12.75">
      <c r="A346" s="254"/>
      <c r="B346" s="254"/>
      <c r="C346" s="251"/>
      <c r="D346" s="252"/>
      <c r="E346" s="252"/>
      <c r="F346" s="252"/>
      <c r="G346" s="252"/>
      <c r="H346" s="252"/>
      <c r="I346" s="252"/>
      <c r="J346" s="252"/>
      <c r="K346" s="92"/>
    </row>
    <row r="347" spans="1:11" ht="12.75">
      <c r="A347" s="254"/>
      <c r="B347" s="254"/>
      <c r="C347" s="251"/>
      <c r="D347" s="252"/>
      <c r="E347" s="252"/>
      <c r="F347" s="252"/>
      <c r="G347" s="252"/>
      <c r="H347" s="252"/>
      <c r="I347" s="252"/>
      <c r="J347" s="252"/>
      <c r="K347" s="92"/>
    </row>
    <row r="348" spans="1:11" ht="12.75">
      <c r="A348" s="254"/>
      <c r="B348" s="254"/>
      <c r="C348" s="251"/>
      <c r="D348" s="252"/>
      <c r="E348" s="252"/>
      <c r="F348" s="252"/>
      <c r="G348" s="252"/>
      <c r="H348" s="252"/>
      <c r="I348" s="252"/>
      <c r="J348" s="253"/>
      <c r="K348" s="92"/>
    </row>
    <row r="349" spans="1:10" ht="12.75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</row>
    <row r="350" spans="1:10" ht="12.75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</row>
    <row r="351" spans="1:10" ht="12.75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</row>
    <row r="352" spans="1:10" ht="12.75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</row>
    <row r="353" spans="1:10" ht="12.75">
      <c r="A353" s="238" t="s">
        <v>298</v>
      </c>
      <c r="B353" s="238"/>
      <c r="C353" s="238"/>
      <c r="D353" s="285"/>
      <c r="E353" s="287"/>
      <c r="F353" s="280"/>
      <c r="G353" s="237"/>
      <c r="H353" s="237"/>
      <c r="I353" s="237"/>
      <c r="J353" s="237"/>
    </row>
    <row r="354" spans="1:10" ht="12.75">
      <c r="A354" s="238" t="s">
        <v>235</v>
      </c>
      <c r="B354" s="238"/>
      <c r="C354" s="238"/>
      <c r="D354" s="237"/>
      <c r="E354" s="237"/>
      <c r="F354" s="237"/>
      <c r="G354" s="235" t="s">
        <v>234</v>
      </c>
      <c r="H354" s="237"/>
      <c r="I354" s="237"/>
      <c r="J354" s="237"/>
    </row>
    <row r="355" spans="1:11" ht="33.75">
      <c r="A355" s="239" t="s">
        <v>0</v>
      </c>
      <c r="B355" s="239" t="s">
        <v>208</v>
      </c>
      <c r="C355" s="239" t="s">
        <v>1</v>
      </c>
      <c r="D355" s="239" t="s">
        <v>200</v>
      </c>
      <c r="E355" s="239" t="s">
        <v>201</v>
      </c>
      <c r="F355" s="240" t="s">
        <v>170</v>
      </c>
      <c r="G355" s="286"/>
      <c r="H355" s="286"/>
      <c r="I355" s="286"/>
      <c r="J355" s="286"/>
      <c r="K355" s="55"/>
    </row>
    <row r="356" spans="1:11" ht="12.75">
      <c r="A356" s="244">
        <v>411111</v>
      </c>
      <c r="B356" s="244"/>
      <c r="C356" s="244" t="s">
        <v>8</v>
      </c>
      <c r="D356" s="245">
        <v>2590798.15</v>
      </c>
      <c r="E356" s="245"/>
      <c r="F356" s="245"/>
      <c r="G356" s="277"/>
      <c r="H356" s="262"/>
      <c r="I356" s="262"/>
      <c r="J356" s="253"/>
      <c r="K356" s="92"/>
    </row>
    <row r="357" spans="1:11" ht="12.75">
      <c r="A357" s="244">
        <v>411112</v>
      </c>
      <c r="B357" s="244"/>
      <c r="C357" s="244" t="s">
        <v>93</v>
      </c>
      <c r="D357" s="245"/>
      <c r="E357" s="245"/>
      <c r="F357" s="245"/>
      <c r="G357" s="277"/>
      <c r="H357" s="262"/>
      <c r="I357" s="262"/>
      <c r="J357" s="253"/>
      <c r="K357" s="92"/>
    </row>
    <row r="358" spans="1:11" ht="12.75">
      <c r="A358" s="244">
        <v>411113</v>
      </c>
      <c r="B358" s="244"/>
      <c r="C358" s="244" t="s">
        <v>9</v>
      </c>
      <c r="D358" s="245"/>
      <c r="E358" s="245"/>
      <c r="F358" s="245"/>
      <c r="G358" s="277"/>
      <c r="H358" s="262"/>
      <c r="I358" s="262"/>
      <c r="J358" s="253"/>
      <c r="K358" s="92"/>
    </row>
    <row r="359" spans="1:11" ht="12.75">
      <c r="A359" s="244">
        <v>411114</v>
      </c>
      <c r="B359" s="244"/>
      <c r="C359" s="244" t="s">
        <v>10</v>
      </c>
      <c r="D359" s="245"/>
      <c r="E359" s="245"/>
      <c r="F359" s="245"/>
      <c r="G359" s="277"/>
      <c r="H359" s="262"/>
      <c r="I359" s="262"/>
      <c r="J359" s="253"/>
      <c r="K359" s="92"/>
    </row>
    <row r="360" spans="1:11" ht="12.75">
      <c r="A360" s="244">
        <v>411115</v>
      </c>
      <c r="B360" s="244"/>
      <c r="C360" s="244" t="s">
        <v>11</v>
      </c>
      <c r="D360" s="245"/>
      <c r="E360" s="245"/>
      <c r="F360" s="245"/>
      <c r="G360" s="277"/>
      <c r="H360" s="262"/>
      <c r="I360" s="262"/>
      <c r="J360" s="253"/>
      <c r="K360" s="92"/>
    </row>
    <row r="361" spans="1:11" ht="12.75">
      <c r="A361" s="244">
        <v>411117</v>
      </c>
      <c r="B361" s="244"/>
      <c r="C361" s="244" t="s">
        <v>12</v>
      </c>
      <c r="D361" s="245"/>
      <c r="E361" s="293"/>
      <c r="F361" s="245"/>
      <c r="G361" s="277"/>
      <c r="H361" s="262"/>
      <c r="I361" s="262"/>
      <c r="J361" s="253"/>
      <c r="K361" s="92"/>
    </row>
    <row r="362" spans="1:11" ht="12.75">
      <c r="A362" s="247">
        <v>4111</v>
      </c>
      <c r="B362" s="247"/>
      <c r="C362" s="247" t="s">
        <v>92</v>
      </c>
      <c r="D362" s="248">
        <f>SUM(D356:D361)</f>
        <v>2590798.15</v>
      </c>
      <c r="E362" s="294"/>
      <c r="F362" s="248"/>
      <c r="G362" s="277"/>
      <c r="H362" s="252"/>
      <c r="I362" s="252"/>
      <c r="J362" s="287"/>
      <c r="K362" s="120"/>
    </row>
    <row r="363" spans="1:11" ht="12.75">
      <c r="A363" s="244">
        <v>412111</v>
      </c>
      <c r="B363" s="244"/>
      <c r="C363" s="244" t="s">
        <v>13</v>
      </c>
      <c r="D363" s="245">
        <v>286558.78</v>
      </c>
      <c r="E363" s="293"/>
      <c r="F363" s="245"/>
      <c r="G363" s="277"/>
      <c r="H363" s="262"/>
      <c r="I363" s="262"/>
      <c r="J363" s="253"/>
      <c r="K363" s="92"/>
    </row>
    <row r="364" spans="1:11" ht="12.75">
      <c r="A364" s="244">
        <v>412113</v>
      </c>
      <c r="B364" s="244"/>
      <c r="C364" s="244" t="s">
        <v>129</v>
      </c>
      <c r="D364" s="245">
        <v>416742.75</v>
      </c>
      <c r="E364" s="293"/>
      <c r="F364" s="245"/>
      <c r="G364" s="277"/>
      <c r="H364" s="262"/>
      <c r="I364" s="262"/>
      <c r="J364" s="253"/>
      <c r="K364" s="92"/>
    </row>
    <row r="365" spans="1:11" ht="12.75">
      <c r="A365" s="247">
        <v>4121</v>
      </c>
      <c r="B365" s="247"/>
      <c r="C365" s="247" t="s">
        <v>94</v>
      </c>
      <c r="D365" s="248">
        <f>SUM(D363:D364)</f>
        <v>703301.53</v>
      </c>
      <c r="E365" s="294"/>
      <c r="F365" s="248"/>
      <c r="G365" s="277"/>
      <c r="H365" s="252"/>
      <c r="I365" s="252"/>
      <c r="J365" s="253"/>
      <c r="K365" s="92"/>
    </row>
    <row r="366" spans="1:11" ht="12.75">
      <c r="A366" s="244">
        <v>412211</v>
      </c>
      <c r="B366" s="244"/>
      <c r="C366" s="244" t="s">
        <v>14</v>
      </c>
      <c r="D366" s="245">
        <v>160212.4</v>
      </c>
      <c r="E366" s="293"/>
      <c r="F366" s="245"/>
      <c r="G366" s="277"/>
      <c r="H366" s="262"/>
      <c r="I366" s="262"/>
      <c r="J366" s="253"/>
      <c r="K366" s="92"/>
    </row>
    <row r="367" spans="1:11" ht="12.75">
      <c r="A367" s="247">
        <v>4122</v>
      </c>
      <c r="B367" s="247"/>
      <c r="C367" s="247" t="s">
        <v>14</v>
      </c>
      <c r="D367" s="248">
        <f>SUM(D366)</f>
        <v>160212.4</v>
      </c>
      <c r="E367" s="294"/>
      <c r="F367" s="248"/>
      <c r="G367" s="277"/>
      <c r="H367" s="252"/>
      <c r="I367" s="252"/>
      <c r="J367" s="253"/>
      <c r="K367" s="92"/>
    </row>
    <row r="368" spans="1:11" ht="12.75">
      <c r="A368" s="244">
        <v>412311</v>
      </c>
      <c r="B368" s="244"/>
      <c r="C368" s="244" t="s">
        <v>95</v>
      </c>
      <c r="D368" s="245">
        <v>19538.11</v>
      </c>
      <c r="E368" s="293"/>
      <c r="F368" s="245"/>
      <c r="G368" s="277"/>
      <c r="H368" s="262"/>
      <c r="I368" s="262"/>
      <c r="J368" s="253"/>
      <c r="K368" s="92"/>
    </row>
    <row r="369" spans="1:11" ht="12.75">
      <c r="A369" s="247">
        <v>4123</v>
      </c>
      <c r="B369" s="247"/>
      <c r="C369" s="247" t="s">
        <v>96</v>
      </c>
      <c r="D369" s="248">
        <f>SUM(D368)</f>
        <v>19538.11</v>
      </c>
      <c r="E369" s="294"/>
      <c r="F369" s="248"/>
      <c r="G369" s="277"/>
      <c r="H369" s="252"/>
      <c r="I369" s="252"/>
      <c r="J369" s="253"/>
      <c r="K369" s="122"/>
    </row>
    <row r="370" spans="1:11" ht="12.75">
      <c r="A370" s="247"/>
      <c r="B370" s="263">
        <f>D370*100/5218134.99</f>
        <v>66.57263939429056</v>
      </c>
      <c r="C370" s="247" t="s">
        <v>174</v>
      </c>
      <c r="D370" s="248">
        <f>D369+D367+D365+D362</f>
        <v>3473850.19</v>
      </c>
      <c r="E370" s="294">
        <f>3930000+29100425-29034000</f>
        <v>3996425</v>
      </c>
      <c r="F370" s="248">
        <f>D370*100/E370</f>
        <v>86.92394302407777</v>
      </c>
      <c r="G370" s="277"/>
      <c r="H370" s="252"/>
      <c r="I370" s="252"/>
      <c r="J370" s="287"/>
      <c r="K370" s="125"/>
    </row>
    <row r="371" spans="1:11" ht="12.75">
      <c r="A371" s="244">
        <v>413151</v>
      </c>
      <c r="B371" s="246"/>
      <c r="C371" s="244" t="s">
        <v>15</v>
      </c>
      <c r="D371" s="245">
        <v>34400</v>
      </c>
      <c r="E371" s="293"/>
      <c r="F371" s="245"/>
      <c r="G371" s="277"/>
      <c r="H371" s="262"/>
      <c r="I371" s="262"/>
      <c r="J371" s="253"/>
      <c r="K371" s="122"/>
    </row>
    <row r="372" spans="1:11" ht="12.75">
      <c r="A372" s="244">
        <v>415112</v>
      </c>
      <c r="B372" s="246"/>
      <c r="C372" s="244" t="s">
        <v>21</v>
      </c>
      <c r="D372" s="245">
        <v>154975.68</v>
      </c>
      <c r="E372" s="293"/>
      <c r="F372" s="245"/>
      <c r="G372" s="277"/>
      <c r="H372" s="262"/>
      <c r="I372" s="262"/>
      <c r="J372" s="253"/>
      <c r="K372" s="122"/>
    </row>
    <row r="373" spans="1:11" ht="12.75">
      <c r="A373" s="247">
        <v>4131</v>
      </c>
      <c r="B373" s="263">
        <f>D373*100/5218134.99</f>
        <v>3.6291832304629588</v>
      </c>
      <c r="C373" s="247" t="s">
        <v>299</v>
      </c>
      <c r="D373" s="248">
        <f>SUM(D371:D372)</f>
        <v>189375.68</v>
      </c>
      <c r="E373" s="294">
        <v>337300</v>
      </c>
      <c r="F373" s="248">
        <f>D373*100/E373</f>
        <v>56.14458345686332</v>
      </c>
      <c r="G373" s="277"/>
      <c r="H373" s="252"/>
      <c r="I373" s="252"/>
      <c r="J373" s="252"/>
      <c r="K373" s="113"/>
    </row>
    <row r="374" spans="1:11" ht="12.75">
      <c r="A374" s="244">
        <v>414111</v>
      </c>
      <c r="B374" s="244"/>
      <c r="C374" s="244" t="s">
        <v>16</v>
      </c>
      <c r="D374" s="245"/>
      <c r="E374" s="293"/>
      <c r="F374" s="245"/>
      <c r="G374" s="277"/>
      <c r="H374" s="262"/>
      <c r="I374" s="262"/>
      <c r="J374" s="253"/>
      <c r="K374" s="122"/>
    </row>
    <row r="375" spans="1:11" ht="12.75">
      <c r="A375" s="244">
        <v>414121</v>
      </c>
      <c r="B375" s="244"/>
      <c r="C375" s="244" t="s">
        <v>17</v>
      </c>
      <c r="D375" s="245"/>
      <c r="E375" s="293"/>
      <c r="F375" s="245"/>
      <c r="G375" s="277"/>
      <c r="H375" s="262"/>
      <c r="I375" s="262"/>
      <c r="J375" s="253"/>
      <c r="K375" s="122"/>
    </row>
    <row r="376" spans="1:11" ht="12.75">
      <c r="A376" s="244">
        <v>414131</v>
      </c>
      <c r="B376" s="244"/>
      <c r="C376" s="244" t="s">
        <v>18</v>
      </c>
      <c r="D376" s="245">
        <v>62203.1</v>
      </c>
      <c r="E376" s="293"/>
      <c r="F376" s="245"/>
      <c r="G376" s="277"/>
      <c r="H376" s="262"/>
      <c r="I376" s="262"/>
      <c r="J376" s="253"/>
      <c r="K376" s="122"/>
    </row>
    <row r="377" spans="1:11" ht="12.75">
      <c r="A377" s="247">
        <v>4141</v>
      </c>
      <c r="B377" s="263">
        <f>D377*100/5218134.99</f>
        <v>1.1920561679451684</v>
      </c>
      <c r="C377" s="247" t="s">
        <v>98</v>
      </c>
      <c r="D377" s="248">
        <f>SUM(D374:D376)</f>
        <v>62203.1</v>
      </c>
      <c r="E377" s="294"/>
      <c r="F377" s="248"/>
      <c r="G377" s="277"/>
      <c r="H377" s="252"/>
      <c r="I377" s="252"/>
      <c r="J377" s="253"/>
      <c r="K377" s="122"/>
    </row>
    <row r="378" spans="1:11" ht="12.75">
      <c r="A378" s="247"/>
      <c r="B378" s="263">
        <f>D378*100/5218134.99</f>
        <v>24.040045771219113</v>
      </c>
      <c r="C378" s="247" t="s">
        <v>179</v>
      </c>
      <c r="D378" s="248">
        <f>D381+D383+D386+D392+D400+D405+D407+D411+D414+D417+D419+D421+D423+D429+D444+D448+D450+D452+D456+D460+D466+D468+D472</f>
        <v>1254442.0399999998</v>
      </c>
      <c r="E378" s="294">
        <v>1530000</v>
      </c>
      <c r="F378" s="248">
        <f>D378*100/E378</f>
        <v>81.98967581699345</v>
      </c>
      <c r="G378" s="277"/>
      <c r="H378" s="252"/>
      <c r="I378" s="252"/>
      <c r="J378" s="252"/>
      <c r="K378" s="113"/>
    </row>
    <row r="379" spans="1:11" ht="12.75">
      <c r="A379" s="244">
        <v>414311</v>
      </c>
      <c r="B379" s="246"/>
      <c r="C379" s="244" t="s">
        <v>19</v>
      </c>
      <c r="D379" s="245">
        <v>165999</v>
      </c>
      <c r="E379" s="293"/>
      <c r="F379" s="245"/>
      <c r="G379" s="277"/>
      <c r="H379" s="262"/>
      <c r="I379" s="262"/>
      <c r="J379" s="253"/>
      <c r="K379" s="122"/>
    </row>
    <row r="380" spans="1:11" ht="12.75">
      <c r="A380" s="244">
        <v>414314</v>
      </c>
      <c r="B380" s="244"/>
      <c r="C380" s="244" t="s">
        <v>20</v>
      </c>
      <c r="D380" s="245">
        <v>136782</v>
      </c>
      <c r="E380" s="293"/>
      <c r="F380" s="245"/>
      <c r="G380" s="277"/>
      <c r="H380" s="262"/>
      <c r="I380" s="262"/>
      <c r="J380" s="253"/>
      <c r="K380" s="92"/>
    </row>
    <row r="381" spans="1:11" ht="12.75">
      <c r="A381" s="247">
        <v>4143</v>
      </c>
      <c r="B381" s="247"/>
      <c r="C381" s="247" t="s">
        <v>99</v>
      </c>
      <c r="D381" s="248">
        <f>SUM(D379:D380)</f>
        <v>302781</v>
      </c>
      <c r="E381" s="294"/>
      <c r="F381" s="248"/>
      <c r="G381" s="277"/>
      <c r="H381" s="252"/>
      <c r="I381" s="252"/>
      <c r="J381" s="253"/>
      <c r="K381" s="92"/>
    </row>
    <row r="382" spans="1:11" ht="12.75">
      <c r="A382" s="244">
        <v>421111</v>
      </c>
      <c r="B382" s="244"/>
      <c r="C382" s="244" t="s">
        <v>22</v>
      </c>
      <c r="D382" s="245">
        <f>41210.21+4976.8</f>
        <v>46187.01</v>
      </c>
      <c r="E382" s="293"/>
      <c r="F382" s="245"/>
      <c r="G382" s="277"/>
      <c r="H382" s="262"/>
      <c r="I382" s="262"/>
      <c r="J382" s="253"/>
      <c r="K382" s="92"/>
    </row>
    <row r="383" spans="1:11" ht="12.75">
      <c r="A383" s="247">
        <v>4211</v>
      </c>
      <c r="B383" s="247"/>
      <c r="C383" s="247" t="s">
        <v>101</v>
      </c>
      <c r="D383" s="248">
        <f>SUM(D382)</f>
        <v>46187.01</v>
      </c>
      <c r="E383" s="294"/>
      <c r="F383" s="248"/>
      <c r="G383" s="277"/>
      <c r="H383" s="252"/>
      <c r="I383" s="252"/>
      <c r="J383" s="287"/>
      <c r="K383" s="120"/>
    </row>
    <row r="384" spans="1:11" ht="12.75">
      <c r="A384" s="244">
        <v>421311</v>
      </c>
      <c r="B384" s="244"/>
      <c r="C384" s="244" t="s">
        <v>25</v>
      </c>
      <c r="D384" s="245"/>
      <c r="E384" s="293"/>
      <c r="F384" s="245"/>
      <c r="G384" s="277"/>
      <c r="H384" s="262"/>
      <c r="I384" s="262"/>
      <c r="J384" s="253"/>
      <c r="K384" s="92"/>
    </row>
    <row r="385" spans="1:11" ht="12.75">
      <c r="A385" s="244">
        <v>421324</v>
      </c>
      <c r="B385" s="244"/>
      <c r="C385" s="244" t="s">
        <v>26</v>
      </c>
      <c r="D385" s="245">
        <v>49971.93</v>
      </c>
      <c r="E385" s="293"/>
      <c r="F385" s="245"/>
      <c r="G385" s="277"/>
      <c r="H385" s="262"/>
      <c r="I385" s="262"/>
      <c r="J385" s="253"/>
      <c r="K385" s="92"/>
    </row>
    <row r="386" spans="1:11" ht="12.75">
      <c r="A386" s="247">
        <v>4213</v>
      </c>
      <c r="B386" s="247"/>
      <c r="C386" s="247" t="s">
        <v>103</v>
      </c>
      <c r="D386" s="248">
        <f>SUM(D384:D385)</f>
        <v>49971.93</v>
      </c>
      <c r="E386" s="294"/>
      <c r="F386" s="248"/>
      <c r="G386" s="277"/>
      <c r="H386" s="252"/>
      <c r="I386" s="252"/>
      <c r="J386" s="287"/>
      <c r="K386" s="92"/>
    </row>
    <row r="387" spans="1:11" ht="12.75">
      <c r="A387" s="244">
        <v>421411</v>
      </c>
      <c r="B387" s="244"/>
      <c r="C387" s="244" t="s">
        <v>27</v>
      </c>
      <c r="D387" s="245"/>
      <c r="E387" s="293"/>
      <c r="F387" s="245"/>
      <c r="G387" s="277"/>
      <c r="H387" s="262"/>
      <c r="I387" s="262"/>
      <c r="J387" s="253"/>
      <c r="K387" s="92"/>
    </row>
    <row r="388" spans="1:11" ht="12.75">
      <c r="A388" s="244">
        <v>421412</v>
      </c>
      <c r="B388" s="244"/>
      <c r="C388" s="244" t="s">
        <v>28</v>
      </c>
      <c r="D388" s="245">
        <v>11800</v>
      </c>
      <c r="E388" s="293"/>
      <c r="F388" s="245"/>
      <c r="G388" s="277"/>
      <c r="H388" s="262"/>
      <c r="I388" s="262"/>
      <c r="J388" s="253"/>
      <c r="K388" s="92"/>
    </row>
    <row r="389" spans="1:11" ht="12.75">
      <c r="A389" s="244">
        <v>421414</v>
      </c>
      <c r="B389" s="244"/>
      <c r="C389" s="244" t="s">
        <v>29</v>
      </c>
      <c r="D389" s="245">
        <v>14139.92</v>
      </c>
      <c r="E389" s="293"/>
      <c r="F389" s="245"/>
      <c r="G389" s="277"/>
      <c r="H389" s="262"/>
      <c r="I389" s="262"/>
      <c r="J389" s="253"/>
      <c r="K389" s="92"/>
    </row>
    <row r="390" spans="1:11" ht="12.75">
      <c r="A390" s="244">
        <v>421421</v>
      </c>
      <c r="B390" s="244"/>
      <c r="C390" s="244" t="s">
        <v>30</v>
      </c>
      <c r="D390" s="245"/>
      <c r="E390" s="293"/>
      <c r="F390" s="245"/>
      <c r="G390" s="277"/>
      <c r="H390" s="262"/>
      <c r="I390" s="262"/>
      <c r="J390" s="253"/>
      <c r="K390" s="92"/>
    </row>
    <row r="391" spans="1:11" ht="12.75">
      <c r="A391" s="244">
        <v>421422</v>
      </c>
      <c r="B391" s="244"/>
      <c r="C391" s="244" t="s">
        <v>31</v>
      </c>
      <c r="D391" s="245"/>
      <c r="E391" s="293"/>
      <c r="F391" s="245"/>
      <c r="G391" s="277"/>
      <c r="H391" s="262"/>
      <c r="I391" s="262"/>
      <c r="J391" s="253"/>
      <c r="K391" s="92"/>
    </row>
    <row r="392" spans="1:11" ht="12.75">
      <c r="A392" s="247">
        <v>4214</v>
      </c>
      <c r="B392" s="247"/>
      <c r="C392" s="247" t="s">
        <v>104</v>
      </c>
      <c r="D392" s="248">
        <f>SUM(D387:D391)</f>
        <v>25939.92</v>
      </c>
      <c r="E392" s="294"/>
      <c r="F392" s="248"/>
      <c r="G392" s="277"/>
      <c r="H392" s="252"/>
      <c r="I392" s="252"/>
      <c r="J392" s="287"/>
      <c r="K392" s="92"/>
    </row>
    <row r="393" spans="1:11" ht="12.75">
      <c r="A393" s="244">
        <v>421512</v>
      </c>
      <c r="B393" s="244"/>
      <c r="C393" s="244" t="s">
        <v>32</v>
      </c>
      <c r="D393" s="245">
        <v>600</v>
      </c>
      <c r="E393" s="293"/>
      <c r="F393" s="245"/>
      <c r="G393" s="277"/>
      <c r="H393" s="262"/>
      <c r="I393" s="262"/>
      <c r="J393" s="253"/>
      <c r="K393" s="92"/>
    </row>
    <row r="394" spans="1:11" ht="12.75">
      <c r="A394" s="244">
        <v>421513</v>
      </c>
      <c r="B394" s="244"/>
      <c r="C394" s="244" t="s">
        <v>33</v>
      </c>
      <c r="D394" s="245"/>
      <c r="E394" s="293"/>
      <c r="F394" s="245"/>
      <c r="G394" s="277"/>
      <c r="H394" s="262"/>
      <c r="I394" s="262"/>
      <c r="J394" s="253"/>
      <c r="K394" s="92"/>
    </row>
    <row r="395" spans="1:11" ht="12.75">
      <c r="A395" s="244">
        <v>421519</v>
      </c>
      <c r="B395" s="244"/>
      <c r="C395" s="244" t="s">
        <v>34</v>
      </c>
      <c r="D395" s="245"/>
      <c r="E395" s="245"/>
      <c r="F395" s="245"/>
      <c r="G395" s="277"/>
      <c r="H395" s="262"/>
      <c r="I395" s="262"/>
      <c r="J395" s="253"/>
      <c r="K395" s="92"/>
    </row>
    <row r="396" spans="1:11" ht="12.75">
      <c r="A396" s="244">
        <v>421521</v>
      </c>
      <c r="B396" s="244"/>
      <c r="C396" s="244" t="s">
        <v>35</v>
      </c>
      <c r="D396" s="245"/>
      <c r="E396" s="245"/>
      <c r="F396" s="245"/>
      <c r="G396" s="277"/>
      <c r="H396" s="262"/>
      <c r="I396" s="262"/>
      <c r="J396" s="253"/>
      <c r="K396" s="92"/>
    </row>
    <row r="397" spans="1:11" ht="12.75">
      <c r="A397" s="238" t="s">
        <v>298</v>
      </c>
      <c r="B397" s="238"/>
      <c r="C397" s="238"/>
      <c r="D397" s="285"/>
      <c r="E397" s="287"/>
      <c r="F397" s="280"/>
      <c r="G397" s="237"/>
      <c r="H397" s="262"/>
      <c r="I397" s="262"/>
      <c r="J397" s="253"/>
      <c r="K397" s="92"/>
    </row>
    <row r="398" spans="1:11" ht="12.75">
      <c r="A398" s="238" t="s">
        <v>235</v>
      </c>
      <c r="B398" s="238"/>
      <c r="C398" s="238"/>
      <c r="D398" s="237"/>
      <c r="E398" s="237"/>
      <c r="F398" s="237"/>
      <c r="G398" s="235" t="s">
        <v>236</v>
      </c>
      <c r="H398" s="262"/>
      <c r="I398" s="262"/>
      <c r="J398" s="253"/>
      <c r="K398" s="92"/>
    </row>
    <row r="399" spans="1:11" ht="33.75">
      <c r="A399" s="239" t="s">
        <v>0</v>
      </c>
      <c r="B399" s="239" t="s">
        <v>208</v>
      </c>
      <c r="C399" s="239" t="s">
        <v>1</v>
      </c>
      <c r="D399" s="239" t="s">
        <v>200</v>
      </c>
      <c r="E399" s="239" t="s">
        <v>201</v>
      </c>
      <c r="F399" s="240" t="s">
        <v>170</v>
      </c>
      <c r="G399" s="286"/>
      <c r="H399" s="262"/>
      <c r="I399" s="262"/>
      <c r="J399" s="253"/>
      <c r="K399" s="92"/>
    </row>
    <row r="400" spans="1:11" ht="12.75">
      <c r="A400" s="247">
        <v>4215</v>
      </c>
      <c r="B400" s="247"/>
      <c r="C400" s="247" t="s">
        <v>169</v>
      </c>
      <c r="D400" s="248">
        <f>SUM(D393:D396)</f>
        <v>600</v>
      </c>
      <c r="E400" s="248"/>
      <c r="F400" s="248"/>
      <c r="G400" s="277"/>
      <c r="H400" s="252"/>
      <c r="I400" s="252"/>
      <c r="J400" s="287"/>
      <c r="K400" s="92"/>
    </row>
    <row r="401" spans="1:11" ht="12.75">
      <c r="A401" s="244">
        <v>422111</v>
      </c>
      <c r="B401" s="244"/>
      <c r="C401" s="244" t="s">
        <v>36</v>
      </c>
      <c r="D401" s="245">
        <v>42400</v>
      </c>
      <c r="E401" s="245"/>
      <c r="F401" s="245"/>
      <c r="G401" s="277"/>
      <c r="H401" s="262"/>
      <c r="I401" s="262"/>
      <c r="J401" s="253"/>
      <c r="K401" s="92"/>
    </row>
    <row r="402" spans="1:11" ht="12.75">
      <c r="A402" s="244">
        <v>422121</v>
      </c>
      <c r="B402" s="244"/>
      <c r="C402" s="244" t="s">
        <v>37</v>
      </c>
      <c r="D402" s="245">
        <v>29806.81</v>
      </c>
      <c r="E402" s="245"/>
      <c r="F402" s="245"/>
      <c r="G402" s="277"/>
      <c r="H402" s="262"/>
      <c r="I402" s="262"/>
      <c r="J402" s="253"/>
      <c r="K402" s="92"/>
    </row>
    <row r="403" spans="1:11" ht="12.75">
      <c r="A403" s="244">
        <v>422194</v>
      </c>
      <c r="B403" s="244"/>
      <c r="C403" s="244" t="s">
        <v>38</v>
      </c>
      <c r="D403" s="245"/>
      <c r="E403" s="245"/>
      <c r="F403" s="245"/>
      <c r="G403" s="277"/>
      <c r="H403" s="262"/>
      <c r="I403" s="262"/>
      <c r="J403" s="253"/>
      <c r="K403" s="92"/>
    </row>
    <row r="404" spans="1:11" ht="12.75">
      <c r="A404" s="244">
        <v>422199</v>
      </c>
      <c r="B404" s="244"/>
      <c r="C404" s="244" t="s">
        <v>39</v>
      </c>
      <c r="D404" s="245">
        <v>15600</v>
      </c>
      <c r="E404" s="245"/>
      <c r="F404" s="245"/>
      <c r="G404" s="277"/>
      <c r="H404" s="262"/>
      <c r="I404" s="262"/>
      <c r="J404" s="253"/>
      <c r="K404" s="92"/>
    </row>
    <row r="405" spans="1:11" ht="12.75">
      <c r="A405" s="247">
        <v>4221</v>
      </c>
      <c r="B405" s="247"/>
      <c r="C405" s="247" t="s">
        <v>105</v>
      </c>
      <c r="D405" s="248">
        <f>SUM(D401:D404)</f>
        <v>87806.81</v>
      </c>
      <c r="E405" s="294"/>
      <c r="F405" s="248"/>
      <c r="G405" s="277"/>
      <c r="H405" s="252"/>
      <c r="I405" s="252"/>
      <c r="J405" s="253"/>
      <c r="K405" s="92"/>
    </row>
    <row r="406" spans="1:11" ht="12.75">
      <c r="A406" s="244">
        <v>423291</v>
      </c>
      <c r="B406" s="244"/>
      <c r="C406" s="244" t="s">
        <v>40</v>
      </c>
      <c r="D406" s="245">
        <v>23600</v>
      </c>
      <c r="E406" s="293"/>
      <c r="F406" s="245"/>
      <c r="G406" s="277"/>
      <c r="H406" s="262"/>
      <c r="I406" s="262"/>
      <c r="J406" s="253"/>
      <c r="K406" s="92"/>
    </row>
    <row r="407" spans="1:11" ht="12.75">
      <c r="A407" s="247">
        <v>4232</v>
      </c>
      <c r="B407" s="247"/>
      <c r="C407" s="247" t="s">
        <v>106</v>
      </c>
      <c r="D407" s="248">
        <f>SUM(D406)</f>
        <v>23600</v>
      </c>
      <c r="E407" s="294"/>
      <c r="F407" s="248"/>
      <c r="G407" s="277"/>
      <c r="H407" s="252"/>
      <c r="I407" s="252"/>
      <c r="J407" s="287"/>
      <c r="K407" s="92"/>
    </row>
    <row r="408" spans="1:11" ht="12.75">
      <c r="A408" s="244">
        <v>423311</v>
      </c>
      <c r="B408" s="244"/>
      <c r="C408" s="244" t="s">
        <v>42</v>
      </c>
      <c r="D408" s="245">
        <v>90000</v>
      </c>
      <c r="E408" s="293"/>
      <c r="F408" s="245"/>
      <c r="G408" s="277"/>
      <c r="H408" s="262"/>
      <c r="I408" s="262"/>
      <c r="J408" s="253"/>
      <c r="K408" s="92"/>
    </row>
    <row r="409" spans="1:11" ht="12.75">
      <c r="A409" s="244">
        <v>423321</v>
      </c>
      <c r="B409" s="244"/>
      <c r="C409" s="244" t="s">
        <v>41</v>
      </c>
      <c r="D409" s="245">
        <v>2720</v>
      </c>
      <c r="E409" s="293"/>
      <c r="F409" s="245"/>
      <c r="G409" s="277"/>
      <c r="H409" s="262"/>
      <c r="I409" s="262"/>
      <c r="J409" s="253"/>
      <c r="K409" s="92"/>
    </row>
    <row r="410" spans="1:11" ht="12.75">
      <c r="A410" s="244">
        <v>4233910</v>
      </c>
      <c r="B410" s="244"/>
      <c r="C410" s="244" t="s">
        <v>130</v>
      </c>
      <c r="D410" s="245">
        <v>62307.99</v>
      </c>
      <c r="E410" s="293"/>
      <c r="F410" s="245"/>
      <c r="G410" s="277"/>
      <c r="H410" s="262"/>
      <c r="I410" s="262"/>
      <c r="J410" s="253"/>
      <c r="K410" s="92"/>
    </row>
    <row r="411" spans="1:11" ht="12.75">
      <c r="A411" s="247">
        <v>4233</v>
      </c>
      <c r="B411" s="247"/>
      <c r="C411" s="247" t="s">
        <v>107</v>
      </c>
      <c r="D411" s="248">
        <f>SUM(D408:D410)</f>
        <v>155027.99</v>
      </c>
      <c r="E411" s="294"/>
      <c r="F411" s="248"/>
      <c r="G411" s="277"/>
      <c r="H411" s="252"/>
      <c r="I411" s="252"/>
      <c r="J411" s="253"/>
      <c r="K411" s="92"/>
    </row>
    <row r="412" spans="1:11" ht="12.75">
      <c r="A412" s="244">
        <v>423421</v>
      </c>
      <c r="B412" s="244"/>
      <c r="C412" s="244" t="s">
        <v>43</v>
      </c>
      <c r="D412" s="245">
        <v>6499.99</v>
      </c>
      <c r="E412" s="293"/>
      <c r="F412" s="245"/>
      <c r="G412" s="277"/>
      <c r="H412" s="262"/>
      <c r="I412" s="262"/>
      <c r="J412" s="253"/>
      <c r="K412" s="92"/>
    </row>
    <row r="413" spans="1:11" ht="12.75">
      <c r="A413" s="259">
        <v>423432</v>
      </c>
      <c r="B413" s="259"/>
      <c r="C413" s="259" t="s">
        <v>44</v>
      </c>
      <c r="D413" s="260">
        <v>53980.44</v>
      </c>
      <c r="E413" s="298"/>
      <c r="F413" s="245"/>
      <c r="G413" s="277"/>
      <c r="H413" s="262"/>
      <c r="I413" s="262"/>
      <c r="J413" s="253"/>
      <c r="K413" s="92"/>
    </row>
    <row r="414" spans="1:11" ht="12.75">
      <c r="A414" s="247">
        <v>4234</v>
      </c>
      <c r="B414" s="247"/>
      <c r="C414" s="247" t="s">
        <v>108</v>
      </c>
      <c r="D414" s="248">
        <f>SUM(D412:D413)</f>
        <v>60480.43</v>
      </c>
      <c r="E414" s="294"/>
      <c r="F414" s="248"/>
      <c r="G414" s="277"/>
      <c r="H414" s="252"/>
      <c r="I414" s="252"/>
      <c r="J414" s="253"/>
      <c r="K414" s="92"/>
    </row>
    <row r="415" spans="1:11" ht="12.75">
      <c r="A415" s="244">
        <v>423539</v>
      </c>
      <c r="B415" s="244"/>
      <c r="C415" s="244" t="s">
        <v>131</v>
      </c>
      <c r="D415" s="245">
        <v>88000</v>
      </c>
      <c r="E415" s="293"/>
      <c r="F415" s="245"/>
      <c r="G415" s="277"/>
      <c r="H415" s="262"/>
      <c r="I415" s="262"/>
      <c r="J415" s="253"/>
      <c r="K415" s="92"/>
    </row>
    <row r="416" spans="1:11" ht="12.75">
      <c r="A416" s="244">
        <v>423599</v>
      </c>
      <c r="B416" s="244"/>
      <c r="C416" s="244" t="s">
        <v>45</v>
      </c>
      <c r="D416" s="245">
        <v>101790.15</v>
      </c>
      <c r="E416" s="293"/>
      <c r="F416" s="245"/>
      <c r="G416" s="277"/>
      <c r="H416" s="262"/>
      <c r="I416" s="262"/>
      <c r="J416" s="253"/>
      <c r="K416" s="92"/>
    </row>
    <row r="417" spans="1:11" ht="12.75">
      <c r="A417" s="247">
        <v>4235</v>
      </c>
      <c r="B417" s="247"/>
      <c r="C417" s="247" t="s">
        <v>109</v>
      </c>
      <c r="D417" s="248">
        <f>SUM(D415:D416)</f>
        <v>189790.15</v>
      </c>
      <c r="E417" s="294"/>
      <c r="F417" s="248"/>
      <c r="G417" s="277"/>
      <c r="H417" s="252"/>
      <c r="I417" s="252"/>
      <c r="J417" s="253"/>
      <c r="K417" s="92"/>
    </row>
    <row r="418" spans="1:11" ht="12.75">
      <c r="A418" s="244">
        <v>423611</v>
      </c>
      <c r="B418" s="244"/>
      <c r="C418" s="244" t="s">
        <v>46</v>
      </c>
      <c r="D418" s="245"/>
      <c r="E418" s="293"/>
      <c r="F418" s="245"/>
      <c r="G418" s="277"/>
      <c r="H418" s="262"/>
      <c r="I418" s="262"/>
      <c r="J418" s="253"/>
      <c r="K418" s="92"/>
    </row>
    <row r="419" spans="1:11" ht="12.75">
      <c r="A419" s="247">
        <v>4236</v>
      </c>
      <c r="B419" s="247"/>
      <c r="C419" s="247" t="s">
        <v>110</v>
      </c>
      <c r="D419" s="248"/>
      <c r="E419" s="294"/>
      <c r="F419" s="248"/>
      <c r="G419" s="277"/>
      <c r="H419" s="252"/>
      <c r="I419" s="252"/>
      <c r="J419" s="287"/>
      <c r="K419" s="92"/>
    </row>
    <row r="420" spans="1:11" ht="12.75">
      <c r="A420" s="244">
        <v>423711</v>
      </c>
      <c r="B420" s="244"/>
      <c r="C420" s="244" t="s">
        <v>47</v>
      </c>
      <c r="D420" s="245">
        <v>6768.34</v>
      </c>
      <c r="E420" s="293"/>
      <c r="F420" s="245"/>
      <c r="G420" s="277"/>
      <c r="H420" s="262"/>
      <c r="I420" s="262"/>
      <c r="J420" s="253"/>
      <c r="K420" s="92"/>
    </row>
    <row r="421" spans="1:11" ht="12.75">
      <c r="A421" s="247">
        <v>4237</v>
      </c>
      <c r="B421" s="247"/>
      <c r="C421" s="247" t="s">
        <v>47</v>
      </c>
      <c r="D421" s="248">
        <f>SUM(D420)</f>
        <v>6768.34</v>
      </c>
      <c r="E421" s="294"/>
      <c r="F421" s="248"/>
      <c r="G421" s="277"/>
      <c r="H421" s="252"/>
      <c r="I421" s="252"/>
      <c r="J421" s="253"/>
      <c r="K421" s="92"/>
    </row>
    <row r="422" spans="1:11" ht="12.75">
      <c r="A422" s="244">
        <v>423911</v>
      </c>
      <c r="B422" s="244"/>
      <c r="C422" s="244" t="s">
        <v>48</v>
      </c>
      <c r="D422" s="245"/>
      <c r="E422" s="293"/>
      <c r="F422" s="245"/>
      <c r="G422" s="277"/>
      <c r="H422" s="262"/>
      <c r="I422" s="262"/>
      <c r="J422" s="253"/>
      <c r="K422" s="92"/>
    </row>
    <row r="423" spans="1:11" ht="12.75">
      <c r="A423" s="247">
        <v>4239</v>
      </c>
      <c r="B423" s="247"/>
      <c r="C423" s="247" t="s">
        <v>48</v>
      </c>
      <c r="D423" s="248"/>
      <c r="E423" s="294"/>
      <c r="F423" s="248"/>
      <c r="G423" s="277"/>
      <c r="H423" s="252"/>
      <c r="I423" s="252"/>
      <c r="J423" s="287"/>
      <c r="K423" s="92"/>
    </row>
    <row r="424" spans="1:11" ht="12.75">
      <c r="A424" s="244">
        <v>424351</v>
      </c>
      <c r="B424" s="244"/>
      <c r="C424" s="244" t="s">
        <v>49</v>
      </c>
      <c r="D424" s="245"/>
      <c r="E424" s="293"/>
      <c r="F424" s="245"/>
      <c r="G424" s="277"/>
      <c r="H424" s="262"/>
      <c r="I424" s="262"/>
      <c r="J424" s="253"/>
      <c r="K424" s="92"/>
    </row>
    <row r="425" spans="1:11" ht="12.75">
      <c r="A425" s="247">
        <v>4243</v>
      </c>
      <c r="B425" s="247"/>
      <c r="C425" s="247" t="s">
        <v>111</v>
      </c>
      <c r="D425" s="248"/>
      <c r="E425" s="294"/>
      <c r="F425" s="248"/>
      <c r="G425" s="277"/>
      <c r="H425" s="252"/>
      <c r="I425" s="252"/>
      <c r="J425" s="287"/>
      <c r="K425" s="92"/>
    </row>
    <row r="426" spans="1:11" ht="12.75">
      <c r="A426" s="244">
        <v>425112</v>
      </c>
      <c r="B426" s="244"/>
      <c r="C426" s="244" t="s">
        <v>50</v>
      </c>
      <c r="D426" s="245"/>
      <c r="E426" s="293"/>
      <c r="F426" s="245"/>
      <c r="G426" s="277"/>
      <c r="H426" s="262"/>
      <c r="I426" s="262"/>
      <c r="J426" s="253"/>
      <c r="K426" s="92"/>
    </row>
    <row r="427" spans="1:11" ht="12.75">
      <c r="A427" s="244">
        <v>425115</v>
      </c>
      <c r="B427" s="244"/>
      <c r="C427" s="244" t="s">
        <v>51</v>
      </c>
      <c r="D427" s="245"/>
      <c r="E427" s="293"/>
      <c r="F427" s="245"/>
      <c r="G427" s="277"/>
      <c r="H427" s="262"/>
      <c r="I427" s="262"/>
      <c r="J427" s="253"/>
      <c r="K427" s="92"/>
    </row>
    <row r="428" spans="1:11" ht="12.75">
      <c r="A428" s="244">
        <v>425117</v>
      </c>
      <c r="B428" s="244"/>
      <c r="C428" s="244" t="s">
        <v>52</v>
      </c>
      <c r="D428" s="245">
        <v>19911.32</v>
      </c>
      <c r="E428" s="293"/>
      <c r="F428" s="245"/>
      <c r="G428" s="277"/>
      <c r="H428" s="262"/>
      <c r="I428" s="262"/>
      <c r="J428" s="253"/>
      <c r="K428" s="92"/>
    </row>
    <row r="429" spans="1:11" ht="12.75">
      <c r="A429" s="247">
        <v>4251</v>
      </c>
      <c r="B429" s="247"/>
      <c r="C429" s="247" t="s">
        <v>112</v>
      </c>
      <c r="D429" s="248">
        <f>SUM(D424:D428)</f>
        <v>19911.32</v>
      </c>
      <c r="E429" s="294"/>
      <c r="F429" s="248"/>
      <c r="G429" s="277"/>
      <c r="H429" s="252"/>
      <c r="I429" s="252"/>
      <c r="J429" s="287"/>
      <c r="K429" s="92"/>
    </row>
    <row r="430" spans="1:11" ht="12.75">
      <c r="A430" s="244">
        <v>425211</v>
      </c>
      <c r="B430" s="244"/>
      <c r="C430" s="244" t="s">
        <v>53</v>
      </c>
      <c r="D430" s="245"/>
      <c r="E430" s="293"/>
      <c r="F430" s="245"/>
      <c r="G430" s="277"/>
      <c r="H430" s="262"/>
      <c r="I430" s="262"/>
      <c r="J430" s="253"/>
      <c r="K430" s="92"/>
    </row>
    <row r="431" spans="1:11" ht="12.75">
      <c r="A431" s="244">
        <v>425212</v>
      </c>
      <c r="B431" s="244"/>
      <c r="C431" s="244" t="s">
        <v>54</v>
      </c>
      <c r="D431" s="245"/>
      <c r="E431" s="293"/>
      <c r="F431" s="245"/>
      <c r="G431" s="277"/>
      <c r="H431" s="262"/>
      <c r="I431" s="262"/>
      <c r="J431" s="253"/>
      <c r="K431" s="92"/>
    </row>
    <row r="432" spans="1:11" ht="12.75">
      <c r="A432" s="244">
        <v>425213</v>
      </c>
      <c r="B432" s="244"/>
      <c r="C432" s="244" t="s">
        <v>55</v>
      </c>
      <c r="D432" s="245"/>
      <c r="E432" s="293"/>
      <c r="F432" s="245"/>
      <c r="G432" s="277"/>
      <c r="H432" s="262"/>
      <c r="I432" s="262"/>
      <c r="J432" s="253"/>
      <c r="K432" s="92"/>
    </row>
    <row r="433" spans="1:11" ht="12.75">
      <c r="A433" s="244">
        <v>425222</v>
      </c>
      <c r="B433" s="244"/>
      <c r="C433" s="244" t="s">
        <v>56</v>
      </c>
      <c r="D433" s="245"/>
      <c r="E433" s="293"/>
      <c r="F433" s="245"/>
      <c r="G433" s="277"/>
      <c r="H433" s="262"/>
      <c r="I433" s="262"/>
      <c r="J433" s="253"/>
      <c r="K433" s="92"/>
    </row>
    <row r="434" spans="1:11" ht="12.75">
      <c r="A434" s="244">
        <v>425223</v>
      </c>
      <c r="B434" s="244"/>
      <c r="C434" s="244" t="s">
        <v>57</v>
      </c>
      <c r="D434" s="245"/>
      <c r="E434" s="293"/>
      <c r="F434" s="245"/>
      <c r="G434" s="277"/>
      <c r="H434" s="262"/>
      <c r="I434" s="262"/>
      <c r="J434" s="253"/>
      <c r="K434" s="92"/>
    </row>
    <row r="435" spans="1:11" ht="12.75">
      <c r="A435" s="244">
        <v>425225</v>
      </c>
      <c r="B435" s="244"/>
      <c r="C435" s="244" t="s">
        <v>58</v>
      </c>
      <c r="D435" s="245"/>
      <c r="E435" s="245"/>
      <c r="F435" s="245"/>
      <c r="G435" s="277"/>
      <c r="H435" s="262"/>
      <c r="I435" s="262"/>
      <c r="J435" s="253"/>
      <c r="K435" s="92"/>
    </row>
    <row r="436" spans="1:11" ht="12.75">
      <c r="A436" s="244">
        <v>425251</v>
      </c>
      <c r="B436" s="244"/>
      <c r="C436" s="244" t="s">
        <v>59</v>
      </c>
      <c r="D436" s="245">
        <v>106038</v>
      </c>
      <c r="E436" s="245"/>
      <c r="F436" s="245"/>
      <c r="G436" s="277"/>
      <c r="H436" s="262"/>
      <c r="I436" s="262"/>
      <c r="J436" s="253"/>
      <c r="K436" s="92"/>
    </row>
    <row r="437" spans="1:11" ht="12.75">
      <c r="A437" s="244">
        <v>425252</v>
      </c>
      <c r="B437" s="244"/>
      <c r="C437" s="244" t="s">
        <v>60</v>
      </c>
      <c r="D437" s="245"/>
      <c r="E437" s="245"/>
      <c r="F437" s="245"/>
      <c r="G437" s="277"/>
      <c r="H437" s="262"/>
      <c r="I437" s="262"/>
      <c r="J437" s="253"/>
      <c r="K437" s="92"/>
    </row>
    <row r="438" spans="1:11" ht="12.75">
      <c r="A438" s="244">
        <v>425281</v>
      </c>
      <c r="B438" s="244"/>
      <c r="C438" s="244" t="s">
        <v>61</v>
      </c>
      <c r="D438" s="245"/>
      <c r="E438" s="245"/>
      <c r="F438" s="278"/>
      <c r="G438" s="277"/>
      <c r="H438" s="262"/>
      <c r="I438" s="262"/>
      <c r="J438" s="253"/>
      <c r="K438" s="92"/>
    </row>
    <row r="439" spans="1:11" ht="12.75">
      <c r="A439" s="244">
        <v>425291</v>
      </c>
      <c r="B439" s="244"/>
      <c r="C439" s="244" t="s">
        <v>62</v>
      </c>
      <c r="D439" s="245">
        <v>150</v>
      </c>
      <c r="E439" s="245"/>
      <c r="F439" s="278"/>
      <c r="G439" s="277"/>
      <c r="H439" s="262"/>
      <c r="I439" s="262"/>
      <c r="J439" s="253"/>
      <c r="K439" s="92"/>
    </row>
    <row r="440" spans="1:11" ht="12.75">
      <c r="A440" s="254"/>
      <c r="B440" s="254"/>
      <c r="C440" s="254"/>
      <c r="D440" s="262"/>
      <c r="E440" s="262"/>
      <c r="F440" s="277"/>
      <c r="G440" s="277"/>
      <c r="H440" s="262"/>
      <c r="I440" s="262"/>
      <c r="J440" s="253"/>
      <c r="K440" s="92"/>
    </row>
    <row r="441" spans="1:11" ht="12.75">
      <c r="A441" s="238" t="s">
        <v>298</v>
      </c>
      <c r="B441" s="238"/>
      <c r="C441" s="238"/>
      <c r="D441" s="285"/>
      <c r="E441" s="287"/>
      <c r="F441" s="280"/>
      <c r="G441" s="237"/>
      <c r="H441" s="262"/>
      <c r="I441" s="262"/>
      <c r="J441" s="253"/>
      <c r="K441" s="92"/>
    </row>
    <row r="442" spans="1:11" ht="12.75">
      <c r="A442" s="238" t="s">
        <v>235</v>
      </c>
      <c r="B442" s="238"/>
      <c r="C442" s="238"/>
      <c r="D442" s="237"/>
      <c r="E442" s="237"/>
      <c r="F442" s="237"/>
      <c r="G442" s="235" t="s">
        <v>237</v>
      </c>
      <c r="H442" s="262"/>
      <c r="I442" s="262"/>
      <c r="J442" s="253"/>
      <c r="K442" s="92"/>
    </row>
    <row r="443" spans="1:11" ht="33.75">
      <c r="A443" s="239" t="s">
        <v>0</v>
      </c>
      <c r="B443" s="239" t="s">
        <v>208</v>
      </c>
      <c r="C443" s="239" t="s">
        <v>1</v>
      </c>
      <c r="D443" s="239" t="s">
        <v>200</v>
      </c>
      <c r="E443" s="239" t="s">
        <v>201</v>
      </c>
      <c r="F443" s="240" t="s">
        <v>170</v>
      </c>
      <c r="G443" s="286"/>
      <c r="H443" s="262"/>
      <c r="I443" s="262"/>
      <c r="J443" s="253"/>
      <c r="K443" s="92"/>
    </row>
    <row r="444" spans="1:11" ht="12.75">
      <c r="A444" s="247">
        <v>4252</v>
      </c>
      <c r="B444" s="247"/>
      <c r="C444" s="247" t="s">
        <v>113</v>
      </c>
      <c r="D444" s="248">
        <v>106188</v>
      </c>
      <c r="E444" s="248"/>
      <c r="F444" s="278"/>
      <c r="G444" s="277"/>
      <c r="H444" s="252"/>
      <c r="I444" s="252"/>
      <c r="J444" s="287"/>
      <c r="K444" s="92"/>
    </row>
    <row r="445" spans="1:11" ht="12.75">
      <c r="A445" s="244">
        <v>426111</v>
      </c>
      <c r="B445" s="244"/>
      <c r="C445" s="244" t="s">
        <v>63</v>
      </c>
      <c r="D445" s="245"/>
      <c r="E445" s="245"/>
      <c r="F445" s="278"/>
      <c r="G445" s="277"/>
      <c r="H445" s="262"/>
      <c r="I445" s="262"/>
      <c r="J445" s="253"/>
      <c r="K445" s="92"/>
    </row>
    <row r="446" spans="1:11" ht="12.75">
      <c r="A446" s="244">
        <v>426121</v>
      </c>
      <c r="B446" s="244"/>
      <c r="C446" s="244" t="s">
        <v>132</v>
      </c>
      <c r="D446" s="245"/>
      <c r="E446" s="245"/>
      <c r="F446" s="278"/>
      <c r="G446" s="277"/>
      <c r="H446" s="262"/>
      <c r="I446" s="262"/>
      <c r="J446" s="253"/>
      <c r="K446" s="92"/>
    </row>
    <row r="447" spans="1:11" ht="12.75">
      <c r="A447" s="244">
        <v>426129</v>
      </c>
      <c r="B447" s="244"/>
      <c r="C447" s="244" t="s">
        <v>64</v>
      </c>
      <c r="D447" s="245"/>
      <c r="E447" s="245"/>
      <c r="F447" s="278"/>
      <c r="G447" s="277"/>
      <c r="H447" s="262"/>
      <c r="I447" s="262"/>
      <c r="J447" s="253"/>
      <c r="K447" s="92"/>
    </row>
    <row r="448" spans="1:11" ht="12.75">
      <c r="A448" s="247">
        <v>4261</v>
      </c>
      <c r="B448" s="247"/>
      <c r="C448" s="247" t="s">
        <v>114</v>
      </c>
      <c r="D448" s="248"/>
      <c r="E448" s="248"/>
      <c r="F448" s="278"/>
      <c r="G448" s="277"/>
      <c r="H448" s="252"/>
      <c r="I448" s="252"/>
      <c r="J448" s="287"/>
      <c r="K448" s="92"/>
    </row>
    <row r="449" spans="1:11" ht="12.75">
      <c r="A449" s="244">
        <v>426311</v>
      </c>
      <c r="B449" s="244"/>
      <c r="C449" s="244" t="s">
        <v>65</v>
      </c>
      <c r="D449" s="245">
        <v>77900</v>
      </c>
      <c r="E449" s="245"/>
      <c r="F449" s="278"/>
      <c r="G449" s="277"/>
      <c r="H449" s="262"/>
      <c r="I449" s="262"/>
      <c r="J449" s="253"/>
      <c r="K449" s="92"/>
    </row>
    <row r="450" spans="1:11" ht="12.75">
      <c r="A450" s="247">
        <v>4263</v>
      </c>
      <c r="B450" s="247"/>
      <c r="C450" s="247" t="s">
        <v>115</v>
      </c>
      <c r="D450" s="248">
        <f>SUM(D449)</f>
        <v>77900</v>
      </c>
      <c r="E450" s="248"/>
      <c r="F450" s="278"/>
      <c r="G450" s="277"/>
      <c r="H450" s="252"/>
      <c r="I450" s="252"/>
      <c r="J450" s="253"/>
      <c r="K450" s="92"/>
    </row>
    <row r="451" spans="1:11" ht="12.75">
      <c r="A451" s="244">
        <v>426491</v>
      </c>
      <c r="B451" s="244"/>
      <c r="C451" s="244" t="s">
        <v>69</v>
      </c>
      <c r="D451" s="245"/>
      <c r="E451" s="245"/>
      <c r="F451" s="278"/>
      <c r="G451" s="277"/>
      <c r="H451" s="262"/>
      <c r="I451" s="262"/>
      <c r="J451" s="253"/>
      <c r="K451" s="92"/>
    </row>
    <row r="452" spans="1:11" ht="12.75">
      <c r="A452" s="247">
        <v>4264</v>
      </c>
      <c r="B452" s="247"/>
      <c r="C452" s="247" t="s">
        <v>116</v>
      </c>
      <c r="D452" s="248">
        <f>SUM(D451)</f>
        <v>0</v>
      </c>
      <c r="E452" s="294"/>
      <c r="F452" s="278"/>
      <c r="G452" s="277"/>
      <c r="H452" s="252"/>
      <c r="I452" s="252"/>
      <c r="J452" s="252"/>
      <c r="K452" s="68"/>
    </row>
    <row r="453" spans="1:11" ht="12.75">
      <c r="A453" s="244">
        <v>426811</v>
      </c>
      <c r="B453" s="244"/>
      <c r="C453" s="244" t="s">
        <v>76</v>
      </c>
      <c r="D453" s="245"/>
      <c r="E453" s="293"/>
      <c r="F453" s="278"/>
      <c r="G453" s="277"/>
      <c r="H453" s="262"/>
      <c r="I453" s="262"/>
      <c r="J453" s="253"/>
      <c r="K453" s="92"/>
    </row>
    <row r="454" spans="1:11" ht="12.75">
      <c r="A454" s="244">
        <v>426812</v>
      </c>
      <c r="B454" s="244"/>
      <c r="C454" s="244" t="s">
        <v>77</v>
      </c>
      <c r="D454" s="245"/>
      <c r="E454" s="293"/>
      <c r="F454" s="278"/>
      <c r="G454" s="277"/>
      <c r="H454" s="262"/>
      <c r="I454" s="262"/>
      <c r="J454" s="253"/>
      <c r="K454" s="92"/>
    </row>
    <row r="455" spans="1:11" ht="12.75">
      <c r="A455" s="244">
        <v>426819</v>
      </c>
      <c r="B455" s="244"/>
      <c r="C455" s="244" t="s">
        <v>78</v>
      </c>
      <c r="D455" s="245"/>
      <c r="E455" s="293"/>
      <c r="F455" s="278"/>
      <c r="G455" s="277"/>
      <c r="H455" s="262"/>
      <c r="I455" s="262"/>
      <c r="J455" s="253"/>
      <c r="K455" s="92"/>
    </row>
    <row r="456" spans="1:11" ht="12.75">
      <c r="A456" s="247">
        <v>4268</v>
      </c>
      <c r="B456" s="247"/>
      <c r="C456" s="247" t="s">
        <v>118</v>
      </c>
      <c r="D456" s="248"/>
      <c r="E456" s="294"/>
      <c r="F456" s="278"/>
      <c r="G456" s="277"/>
      <c r="H456" s="252"/>
      <c r="I456" s="252"/>
      <c r="J456" s="287"/>
      <c r="K456" s="92"/>
    </row>
    <row r="457" spans="1:11" ht="12.75">
      <c r="A457" s="244">
        <v>426911</v>
      </c>
      <c r="B457" s="244"/>
      <c r="C457" s="244" t="s">
        <v>79</v>
      </c>
      <c r="D457" s="245">
        <v>1279</v>
      </c>
      <c r="E457" s="293"/>
      <c r="F457" s="278"/>
      <c r="G457" s="277"/>
      <c r="H457" s="262"/>
      <c r="I457" s="262"/>
      <c r="J457" s="253"/>
      <c r="K457" s="92"/>
    </row>
    <row r="458" spans="1:11" ht="12.75">
      <c r="A458" s="244">
        <v>426913</v>
      </c>
      <c r="B458" s="244"/>
      <c r="C458" s="244" t="s">
        <v>80</v>
      </c>
      <c r="D458" s="245">
        <v>1000</v>
      </c>
      <c r="E458" s="293"/>
      <c r="F458" s="278"/>
      <c r="G458" s="277"/>
      <c r="H458" s="262"/>
      <c r="I458" s="262"/>
      <c r="J458" s="253"/>
      <c r="K458" s="92"/>
    </row>
    <row r="459" spans="1:11" ht="12.75">
      <c r="A459" s="244">
        <v>426919</v>
      </c>
      <c r="B459" s="244"/>
      <c r="C459" s="244" t="s">
        <v>186</v>
      </c>
      <c r="D459" s="245"/>
      <c r="E459" s="293">
        <v>2686275</v>
      </c>
      <c r="F459" s="278"/>
      <c r="G459" s="277"/>
      <c r="H459" s="262"/>
      <c r="I459" s="262"/>
      <c r="J459" s="253"/>
      <c r="K459" s="92"/>
    </row>
    <row r="460" spans="1:11" ht="12.75">
      <c r="A460" s="247">
        <v>4269</v>
      </c>
      <c r="B460" s="247"/>
      <c r="C460" s="247" t="s">
        <v>119</v>
      </c>
      <c r="D460" s="248">
        <f>SUM(D457:D459)</f>
        <v>2279</v>
      </c>
      <c r="E460" s="294">
        <f>SUM(E459)</f>
        <v>2686275</v>
      </c>
      <c r="F460" s="278"/>
      <c r="G460" s="277"/>
      <c r="H460" s="252"/>
      <c r="I460" s="252"/>
      <c r="J460" s="287"/>
      <c r="K460" s="92"/>
    </row>
    <row r="461" spans="1:11" ht="12.75">
      <c r="A461" s="244">
        <v>431111</v>
      </c>
      <c r="B461" s="244"/>
      <c r="C461" s="244" t="s">
        <v>82</v>
      </c>
      <c r="D461" s="245"/>
      <c r="E461" s="293"/>
      <c r="F461" s="278"/>
      <c r="G461" s="277"/>
      <c r="H461" s="262"/>
      <c r="I461" s="262"/>
      <c r="J461" s="253"/>
      <c r="K461" s="92"/>
    </row>
    <row r="462" spans="1:11" ht="12.75">
      <c r="A462" s="247">
        <v>4311</v>
      </c>
      <c r="B462" s="247"/>
      <c r="C462" s="247" t="s">
        <v>83</v>
      </c>
      <c r="D462" s="248"/>
      <c r="E462" s="294"/>
      <c r="F462" s="278"/>
      <c r="G462" s="277"/>
      <c r="H462" s="252"/>
      <c r="I462" s="252"/>
      <c r="J462" s="253"/>
      <c r="K462" s="92"/>
    </row>
    <row r="463" spans="1:11" ht="12.75">
      <c r="A463" s="244">
        <v>431211</v>
      </c>
      <c r="B463" s="244"/>
      <c r="C463" s="244" t="s">
        <v>84</v>
      </c>
      <c r="D463" s="245"/>
      <c r="E463" s="293"/>
      <c r="F463" s="278"/>
      <c r="G463" s="277"/>
      <c r="H463" s="262"/>
      <c r="I463" s="262"/>
      <c r="J463" s="253"/>
      <c r="K463" s="92"/>
    </row>
    <row r="464" spans="1:11" ht="12.75">
      <c r="A464" s="247">
        <v>4312</v>
      </c>
      <c r="B464" s="247"/>
      <c r="C464" s="247" t="s">
        <v>84</v>
      </c>
      <c r="D464" s="248"/>
      <c r="E464" s="294"/>
      <c r="F464" s="278"/>
      <c r="G464" s="277"/>
      <c r="H464" s="252"/>
      <c r="I464" s="252"/>
      <c r="J464" s="253"/>
      <c r="K464" s="92"/>
    </row>
    <row r="465" spans="1:11" ht="12.75">
      <c r="A465" s="244">
        <v>444211</v>
      </c>
      <c r="B465" s="244"/>
      <c r="C465" s="244" t="s">
        <v>85</v>
      </c>
      <c r="D465" s="245">
        <f>4986.97+360.17</f>
        <v>5347.14</v>
      </c>
      <c r="E465" s="293"/>
      <c r="F465" s="278"/>
      <c r="G465" s="277"/>
      <c r="H465" s="262"/>
      <c r="I465" s="262"/>
      <c r="J465" s="253"/>
      <c r="K465" s="92"/>
    </row>
    <row r="466" spans="1:11" ht="12.75">
      <c r="A466" s="247">
        <v>4442</v>
      </c>
      <c r="B466" s="247"/>
      <c r="C466" s="247" t="s">
        <v>85</v>
      </c>
      <c r="D466" s="248">
        <f>SUM(D465)</f>
        <v>5347.14</v>
      </c>
      <c r="E466" s="294"/>
      <c r="F466" s="278"/>
      <c r="G466" s="277"/>
      <c r="H466" s="252"/>
      <c r="I466" s="252"/>
      <c r="J466" s="253"/>
      <c r="K466" s="92"/>
    </row>
    <row r="467" spans="1:11" ht="12.75">
      <c r="A467" s="244">
        <v>482131</v>
      </c>
      <c r="B467" s="244"/>
      <c r="C467" s="244" t="s">
        <v>86</v>
      </c>
      <c r="D467" s="245"/>
      <c r="E467" s="293"/>
      <c r="F467" s="278"/>
      <c r="G467" s="277"/>
      <c r="H467" s="262"/>
      <c r="I467" s="262"/>
      <c r="J467" s="253"/>
      <c r="K467" s="92"/>
    </row>
    <row r="468" spans="1:11" ht="12.75">
      <c r="A468" s="247">
        <v>4821</v>
      </c>
      <c r="B468" s="247"/>
      <c r="C468" s="247" t="s">
        <v>87</v>
      </c>
      <c r="D468" s="248"/>
      <c r="E468" s="294"/>
      <c r="F468" s="278"/>
      <c r="G468" s="277"/>
      <c r="H468" s="252"/>
      <c r="I468" s="252"/>
      <c r="J468" s="253"/>
      <c r="K468" s="92"/>
    </row>
    <row r="469" spans="1:11" ht="12.75">
      <c r="A469" s="244">
        <v>482211</v>
      </c>
      <c r="B469" s="244"/>
      <c r="C469" s="244" t="s">
        <v>88</v>
      </c>
      <c r="D469" s="245"/>
      <c r="E469" s="293"/>
      <c r="F469" s="278"/>
      <c r="G469" s="277"/>
      <c r="H469" s="262"/>
      <c r="I469" s="262"/>
      <c r="J469" s="253"/>
      <c r="K469" s="92"/>
    </row>
    <row r="470" spans="1:11" ht="12.75">
      <c r="A470" s="241">
        <v>482241</v>
      </c>
      <c r="B470" s="241"/>
      <c r="C470" s="241" t="s">
        <v>91</v>
      </c>
      <c r="D470" s="243">
        <v>3150</v>
      </c>
      <c r="E470" s="297"/>
      <c r="F470" s="278"/>
      <c r="G470" s="277"/>
      <c r="H470" s="262"/>
      <c r="I470" s="262"/>
      <c r="J470" s="253"/>
      <c r="K470" s="92"/>
    </row>
    <row r="471" spans="1:11" ht="12.75">
      <c r="A471" s="244">
        <v>482251</v>
      </c>
      <c r="B471" s="244"/>
      <c r="C471" s="244" t="s">
        <v>89</v>
      </c>
      <c r="D471" s="245">
        <v>90713</v>
      </c>
      <c r="E471" s="293"/>
      <c r="F471" s="278"/>
      <c r="G471" s="277"/>
      <c r="H471" s="262"/>
      <c r="I471" s="262"/>
      <c r="J471" s="253"/>
      <c r="K471" s="92"/>
    </row>
    <row r="472" spans="1:11" ht="12.75">
      <c r="A472" s="247">
        <v>4822</v>
      </c>
      <c r="B472" s="247"/>
      <c r="C472" s="247" t="s">
        <v>90</v>
      </c>
      <c r="D472" s="248">
        <f>SUM(D469:D471)</f>
        <v>93863</v>
      </c>
      <c r="E472" s="294"/>
      <c r="F472" s="278"/>
      <c r="G472" s="277"/>
      <c r="H472" s="252"/>
      <c r="I472" s="252"/>
      <c r="J472" s="253"/>
      <c r="K472" s="122"/>
    </row>
    <row r="473" spans="1:11" ht="12.75">
      <c r="A473" s="247"/>
      <c r="B473" s="247"/>
      <c r="C473" s="247" t="s">
        <v>187</v>
      </c>
      <c r="D473" s="248"/>
      <c r="E473" s="294"/>
      <c r="F473" s="278"/>
      <c r="G473" s="277"/>
      <c r="H473" s="252"/>
      <c r="I473" s="252"/>
      <c r="J473" s="287"/>
      <c r="K473" s="122"/>
    </row>
    <row r="474" spans="1:11" ht="12.75">
      <c r="A474" s="247"/>
      <c r="B474" s="263">
        <f>D474*100/5218134.99</f>
        <v>0.8591508285223568</v>
      </c>
      <c r="C474" s="247" t="s">
        <v>180</v>
      </c>
      <c r="D474" s="248">
        <f>D475+D476+D477+D478+D479</f>
        <v>44831.65</v>
      </c>
      <c r="E474" s="294"/>
      <c r="F474" s="278"/>
      <c r="G474" s="277"/>
      <c r="H474" s="252"/>
      <c r="I474" s="252"/>
      <c r="J474" s="252"/>
      <c r="K474" s="122"/>
    </row>
    <row r="475" spans="1:11" ht="12.75">
      <c r="A475" s="244">
        <v>421211</v>
      </c>
      <c r="B475" s="244"/>
      <c r="C475" s="244" t="s">
        <v>23</v>
      </c>
      <c r="D475" s="245">
        <v>44131.65</v>
      </c>
      <c r="E475" s="293"/>
      <c r="F475" s="278"/>
      <c r="G475" s="277"/>
      <c r="H475" s="262"/>
      <c r="I475" s="262"/>
      <c r="J475" s="253"/>
      <c r="K475" s="125"/>
    </row>
    <row r="476" spans="1:11" ht="12.75">
      <c r="A476" s="244">
        <v>421225</v>
      </c>
      <c r="B476" s="244"/>
      <c r="C476" s="244" t="s">
        <v>24</v>
      </c>
      <c r="D476" s="245"/>
      <c r="E476" s="293"/>
      <c r="F476" s="278"/>
      <c r="G476" s="277"/>
      <c r="H476" s="262"/>
      <c r="I476" s="262"/>
      <c r="J476" s="253"/>
      <c r="K476" s="125"/>
    </row>
    <row r="477" spans="1:11" ht="12.75">
      <c r="A477" s="244">
        <v>426411</v>
      </c>
      <c r="B477" s="244"/>
      <c r="C477" s="244" t="s">
        <v>66</v>
      </c>
      <c r="D477" s="245">
        <v>700</v>
      </c>
      <c r="E477" s="245"/>
      <c r="F477" s="278"/>
      <c r="G477" s="277"/>
      <c r="H477" s="262"/>
      <c r="I477" s="262"/>
      <c r="J477" s="253"/>
      <c r="K477" s="122"/>
    </row>
    <row r="478" spans="1:11" ht="12.75">
      <c r="A478" s="244">
        <v>426412</v>
      </c>
      <c r="B478" s="244"/>
      <c r="C478" s="244" t="s">
        <v>67</v>
      </c>
      <c r="D478" s="245"/>
      <c r="E478" s="245"/>
      <c r="F478" s="278"/>
      <c r="G478" s="277"/>
      <c r="H478" s="262"/>
      <c r="I478" s="262"/>
      <c r="J478" s="253"/>
      <c r="K478" s="122"/>
    </row>
    <row r="479" spans="1:11" ht="12.75">
      <c r="A479" s="244">
        <v>426413</v>
      </c>
      <c r="B479" s="244"/>
      <c r="C479" s="244" t="s">
        <v>68</v>
      </c>
      <c r="D479" s="245"/>
      <c r="E479" s="245"/>
      <c r="F479" s="278"/>
      <c r="G479" s="277"/>
      <c r="H479" s="262"/>
      <c r="I479" s="262"/>
      <c r="J479" s="253"/>
      <c r="K479" s="122"/>
    </row>
    <row r="480" spans="1:11" ht="12.75">
      <c r="A480" s="254"/>
      <c r="B480" s="254"/>
      <c r="C480" s="254"/>
      <c r="D480" s="262"/>
      <c r="E480" s="262"/>
      <c r="F480" s="277"/>
      <c r="G480" s="277"/>
      <c r="H480" s="262"/>
      <c r="I480" s="262"/>
      <c r="J480" s="253"/>
      <c r="K480" s="122"/>
    </row>
    <row r="481" spans="1:11" ht="12.75">
      <c r="A481" s="254"/>
      <c r="B481" s="254"/>
      <c r="C481" s="254"/>
      <c r="D481" s="262"/>
      <c r="E481" s="262"/>
      <c r="F481" s="277"/>
      <c r="G481" s="277"/>
      <c r="H481" s="262"/>
      <c r="I481" s="262"/>
      <c r="J481" s="253"/>
      <c r="K481" s="122"/>
    </row>
    <row r="482" spans="1:11" ht="12.75">
      <c r="A482" s="254"/>
      <c r="B482" s="254"/>
      <c r="C482" s="254"/>
      <c r="D482" s="262"/>
      <c r="E482" s="262"/>
      <c r="F482" s="277"/>
      <c r="G482" s="277"/>
      <c r="H482" s="262"/>
      <c r="I482" s="262"/>
      <c r="J482" s="253"/>
      <c r="K482" s="122"/>
    </row>
    <row r="483" spans="1:11" ht="12.75">
      <c r="A483" s="254"/>
      <c r="B483" s="254"/>
      <c r="C483" s="254"/>
      <c r="D483" s="262"/>
      <c r="E483" s="262"/>
      <c r="F483" s="277"/>
      <c r="G483" s="277"/>
      <c r="H483" s="262"/>
      <c r="I483" s="262"/>
      <c r="J483" s="253"/>
      <c r="K483" s="122"/>
    </row>
    <row r="484" spans="1:11" ht="12.75">
      <c r="A484" s="254"/>
      <c r="B484" s="254"/>
      <c r="C484" s="254"/>
      <c r="D484" s="262"/>
      <c r="E484" s="262"/>
      <c r="F484" s="277"/>
      <c r="G484" s="277"/>
      <c r="H484" s="262"/>
      <c r="I484" s="262"/>
      <c r="J484" s="253"/>
      <c r="K484" s="122"/>
    </row>
    <row r="485" spans="1:11" ht="12.75">
      <c r="A485" s="238" t="s">
        <v>298</v>
      </c>
      <c r="B485" s="238"/>
      <c r="C485" s="238"/>
      <c r="D485" s="285"/>
      <c r="E485" s="287"/>
      <c r="F485" s="280"/>
      <c r="G485" s="237"/>
      <c r="H485" s="262"/>
      <c r="I485" s="262"/>
      <c r="J485" s="253"/>
      <c r="K485" s="122"/>
    </row>
    <row r="486" spans="1:11" ht="12.75">
      <c r="A486" s="238" t="s">
        <v>235</v>
      </c>
      <c r="B486" s="238"/>
      <c r="C486" s="238"/>
      <c r="D486" s="237"/>
      <c r="E486" s="237"/>
      <c r="F486" s="237"/>
      <c r="G486" s="235" t="s">
        <v>238</v>
      </c>
      <c r="H486" s="262"/>
      <c r="I486" s="262"/>
      <c r="J486" s="253"/>
      <c r="K486" s="122"/>
    </row>
    <row r="487" spans="1:11" ht="33.75">
      <c r="A487" s="239" t="s">
        <v>0</v>
      </c>
      <c r="B487" s="239" t="s">
        <v>208</v>
      </c>
      <c r="C487" s="239" t="s">
        <v>1</v>
      </c>
      <c r="D487" s="239" t="s">
        <v>200</v>
      </c>
      <c r="E487" s="239" t="s">
        <v>201</v>
      </c>
      <c r="F487" s="240" t="s">
        <v>170</v>
      </c>
      <c r="G487" s="286"/>
      <c r="H487" s="262"/>
      <c r="I487" s="262"/>
      <c r="J487" s="253"/>
      <c r="K487" s="122"/>
    </row>
    <row r="488" spans="1:11" ht="12.75">
      <c r="A488" s="264"/>
      <c r="B488" s="264"/>
      <c r="C488" s="264" t="s">
        <v>181</v>
      </c>
      <c r="D488" s="245"/>
      <c r="E488" s="245"/>
      <c r="F488" s="278"/>
      <c r="G488" s="277"/>
      <c r="H488" s="262"/>
      <c r="I488" s="262"/>
      <c r="J488" s="253"/>
      <c r="K488" s="122"/>
    </row>
    <row r="489" spans="1:11" ht="12.75">
      <c r="A489" s="264"/>
      <c r="B489" s="249">
        <f>D489*100/5218134.99</f>
        <v>3.706924607559836</v>
      </c>
      <c r="C489" s="264" t="s">
        <v>182</v>
      </c>
      <c r="D489" s="281">
        <f>D490+D491+D492+D493</f>
        <v>193432.33000000002</v>
      </c>
      <c r="E489" s="281">
        <v>5800000</v>
      </c>
      <c r="F489" s="249">
        <f>D489*100/E489</f>
        <v>3.3350401724137932</v>
      </c>
      <c r="G489" s="277"/>
      <c r="H489" s="262"/>
      <c r="I489" s="262"/>
      <c r="J489" s="253"/>
      <c r="K489" s="122"/>
    </row>
    <row r="490" spans="1:11" ht="12.75">
      <c r="A490" s="244">
        <v>4267111</v>
      </c>
      <c r="B490" s="246"/>
      <c r="C490" s="244" t="s">
        <v>70</v>
      </c>
      <c r="D490" s="245"/>
      <c r="E490" s="245"/>
      <c r="F490" s="246"/>
      <c r="G490" s="277"/>
      <c r="H490" s="262"/>
      <c r="I490" s="262"/>
      <c r="J490" s="253"/>
      <c r="K490" s="122"/>
    </row>
    <row r="491" spans="1:11" ht="12.75">
      <c r="A491" s="244">
        <v>4267112</v>
      </c>
      <c r="B491" s="246"/>
      <c r="C491" s="244" t="s">
        <v>71</v>
      </c>
      <c r="D491" s="245">
        <v>52862.82</v>
      </c>
      <c r="E491" s="245"/>
      <c r="F491" s="246"/>
      <c r="G491" s="277"/>
      <c r="H491" s="262"/>
      <c r="I491" s="262"/>
      <c r="J491" s="253"/>
      <c r="K491" s="122"/>
    </row>
    <row r="492" spans="1:11" ht="12.75">
      <c r="A492" s="244">
        <v>4267113</v>
      </c>
      <c r="B492" s="246"/>
      <c r="C492" s="244" t="s">
        <v>72</v>
      </c>
      <c r="D492" s="245">
        <v>140569.51</v>
      </c>
      <c r="E492" s="245"/>
      <c r="F492" s="246"/>
      <c r="G492" s="277"/>
      <c r="H492" s="262"/>
      <c r="I492" s="262"/>
      <c r="J492" s="253"/>
      <c r="K492" s="122"/>
    </row>
    <row r="493" spans="1:11" ht="12.75">
      <c r="A493" s="244">
        <v>426721</v>
      </c>
      <c r="B493" s="246"/>
      <c r="C493" s="244" t="s">
        <v>73</v>
      </c>
      <c r="D493" s="245"/>
      <c r="E493" s="245"/>
      <c r="F493" s="246"/>
      <c r="G493" s="277"/>
      <c r="H493" s="262"/>
      <c r="I493" s="262"/>
      <c r="J493" s="253"/>
      <c r="K493" s="122"/>
    </row>
    <row r="494" spans="1:11" ht="12.75">
      <c r="A494" s="244"/>
      <c r="B494" s="246">
        <v>0</v>
      </c>
      <c r="C494" s="264" t="s">
        <v>183</v>
      </c>
      <c r="D494" s="281">
        <f>D495+D496</f>
        <v>0</v>
      </c>
      <c r="E494" s="281">
        <v>8190000</v>
      </c>
      <c r="F494" s="246">
        <f>D494*100/E494</f>
        <v>0</v>
      </c>
      <c r="G494" s="277"/>
      <c r="H494" s="262"/>
      <c r="I494" s="262"/>
      <c r="J494" s="253"/>
      <c r="K494" s="122"/>
    </row>
    <row r="495" spans="1:11" ht="12.75">
      <c r="A495" s="244">
        <v>4267510</v>
      </c>
      <c r="B495" s="246"/>
      <c r="C495" s="244" t="s">
        <v>75</v>
      </c>
      <c r="D495" s="245"/>
      <c r="E495" s="245"/>
      <c r="F495" s="246"/>
      <c r="G495" s="277"/>
      <c r="H495" s="262"/>
      <c r="I495" s="262"/>
      <c r="J495" s="253"/>
      <c r="K495" s="122"/>
    </row>
    <row r="496" spans="1:11" ht="12.75">
      <c r="A496" s="244">
        <v>4267511</v>
      </c>
      <c r="B496" s="246"/>
      <c r="C496" s="244" t="s">
        <v>74</v>
      </c>
      <c r="D496" s="245"/>
      <c r="E496" s="245"/>
      <c r="F496" s="246"/>
      <c r="G496" s="277"/>
      <c r="H496" s="262"/>
      <c r="I496" s="262"/>
      <c r="J496" s="253"/>
      <c r="K496" s="122"/>
    </row>
    <row r="497" spans="1:11" ht="12.75">
      <c r="A497" s="244"/>
      <c r="B497" s="249">
        <v>100</v>
      </c>
      <c r="C497" s="247" t="s">
        <v>134</v>
      </c>
      <c r="D497" s="248">
        <f>D494+D489+D474+D378+D373+D370+D377</f>
        <v>5218134.989999999</v>
      </c>
      <c r="E497" s="248">
        <f>E494+E489+E474+E378+E373+E370+E377+E460</f>
        <v>22540000</v>
      </c>
      <c r="F497" s="249">
        <f>D497*100/E497</f>
        <v>23.150554525288374</v>
      </c>
      <c r="G497" s="277"/>
      <c r="H497" s="252"/>
      <c r="I497" s="252"/>
      <c r="J497" s="252"/>
      <c r="K497" s="68"/>
    </row>
    <row r="498" spans="1:11" ht="12.75">
      <c r="A498" s="254"/>
      <c r="B498" s="254"/>
      <c r="C498" s="251"/>
      <c r="D498" s="252"/>
      <c r="E498" s="252"/>
      <c r="F498" s="252"/>
      <c r="G498" s="252"/>
      <c r="H498" s="252"/>
      <c r="I498" s="252"/>
      <c r="J498" s="253"/>
      <c r="K498" s="92"/>
    </row>
    <row r="499" spans="1:11" ht="12.75">
      <c r="A499" s="254"/>
      <c r="B499" s="254"/>
      <c r="C499" s="285" t="s">
        <v>195</v>
      </c>
      <c r="D499" s="236"/>
      <c r="E499" s="236"/>
      <c r="F499" s="236"/>
      <c r="G499" s="236"/>
      <c r="H499" s="262"/>
      <c r="I499" s="262"/>
      <c r="J499" s="253"/>
      <c r="K499" s="92"/>
    </row>
    <row r="500" spans="1:11" ht="12.75">
      <c r="A500" s="254"/>
      <c r="B500" s="254"/>
      <c r="C500" s="254"/>
      <c r="D500" s="262"/>
      <c r="E500" s="262"/>
      <c r="F500" s="262"/>
      <c r="G500" s="262"/>
      <c r="H500" s="262"/>
      <c r="I500" s="262"/>
      <c r="J500" s="253"/>
      <c r="K500" s="92"/>
    </row>
    <row r="501" spans="1:11" ht="33.75">
      <c r="A501" s="239" t="s">
        <v>0</v>
      </c>
      <c r="B501" s="239" t="s">
        <v>208</v>
      </c>
      <c r="C501" s="239" t="s">
        <v>1</v>
      </c>
      <c r="D501" s="239" t="s">
        <v>200</v>
      </c>
      <c r="E501" s="239" t="s">
        <v>201</v>
      </c>
      <c r="F501" s="240" t="s">
        <v>170</v>
      </c>
      <c r="G501" s="237"/>
      <c r="H501" s="286"/>
      <c r="I501" s="286"/>
      <c r="J501" s="290"/>
      <c r="K501" s="127"/>
    </row>
    <row r="502" spans="1:11" ht="12.75">
      <c r="A502" s="299">
        <v>512111</v>
      </c>
      <c r="B502" s="299"/>
      <c r="C502" s="300" t="s">
        <v>124</v>
      </c>
      <c r="D502" s="245">
        <v>1376602.5</v>
      </c>
      <c r="E502" s="301">
        <v>1400000</v>
      </c>
      <c r="F502" s="248"/>
      <c r="G502" s="237"/>
      <c r="H502" s="302"/>
      <c r="I502" s="302"/>
      <c r="J502" s="253"/>
      <c r="K502" s="92"/>
    </row>
    <row r="503" spans="1:11" ht="12.75">
      <c r="A503" s="273">
        <v>5121</v>
      </c>
      <c r="B503" s="273"/>
      <c r="C503" s="274" t="s">
        <v>125</v>
      </c>
      <c r="D503" s="248">
        <f>SUM(D502)</f>
        <v>1376602.5</v>
      </c>
      <c r="E503" s="276">
        <f>SUM(E502)</f>
        <v>1400000</v>
      </c>
      <c r="F503" s="248">
        <f>D503*100/E503</f>
        <v>98.32875</v>
      </c>
      <c r="G503" s="237"/>
      <c r="H503" s="302"/>
      <c r="I503" s="302"/>
      <c r="J503" s="253"/>
      <c r="K503" s="92"/>
    </row>
    <row r="504" spans="1:11" ht="12.75">
      <c r="A504" s="244">
        <v>512211</v>
      </c>
      <c r="B504" s="244"/>
      <c r="C504" s="244" t="s">
        <v>120</v>
      </c>
      <c r="D504" s="245">
        <v>15930</v>
      </c>
      <c r="E504" s="245"/>
      <c r="F504" s="245"/>
      <c r="G504" s="237"/>
      <c r="H504" s="262"/>
      <c r="I504" s="262"/>
      <c r="J504" s="253"/>
      <c r="K504" s="92"/>
    </row>
    <row r="505" spans="1:11" ht="12.75">
      <c r="A505" s="244">
        <v>512221</v>
      </c>
      <c r="B505" s="244"/>
      <c r="C505" s="244" t="s">
        <v>56</v>
      </c>
      <c r="D505" s="245"/>
      <c r="E505" s="245"/>
      <c r="F505" s="245"/>
      <c r="G505" s="237"/>
      <c r="H505" s="262"/>
      <c r="I505" s="262"/>
      <c r="J505" s="253"/>
      <c r="K505" s="92"/>
    </row>
    <row r="506" spans="1:11" ht="12.75">
      <c r="A506" s="244">
        <v>512222</v>
      </c>
      <c r="B506" s="244"/>
      <c r="C506" s="244" t="s">
        <v>121</v>
      </c>
      <c r="D506" s="245"/>
      <c r="E506" s="245"/>
      <c r="F506" s="245"/>
      <c r="G506" s="237"/>
      <c r="H506" s="262"/>
      <c r="I506" s="262"/>
      <c r="J506" s="253"/>
      <c r="K506" s="92"/>
    </row>
    <row r="507" spans="1:11" ht="12.75">
      <c r="A507" s="244">
        <v>512251</v>
      </c>
      <c r="B507" s="244"/>
      <c r="C507" s="244" t="s">
        <v>122</v>
      </c>
      <c r="D507" s="245"/>
      <c r="E507" s="245"/>
      <c r="F507" s="245"/>
      <c r="G507" s="237"/>
      <c r="H507" s="262"/>
      <c r="I507" s="262"/>
      <c r="J507" s="253"/>
      <c r="K507" s="92"/>
    </row>
    <row r="508" spans="1:11" ht="12.75">
      <c r="A508" s="247">
        <v>5122</v>
      </c>
      <c r="B508" s="247"/>
      <c r="C508" s="247" t="s">
        <v>123</v>
      </c>
      <c r="D508" s="248">
        <f>SUM(D504:D507)</f>
        <v>15930</v>
      </c>
      <c r="E508" s="248"/>
      <c r="F508" s="248"/>
      <c r="G508" s="237"/>
      <c r="H508" s="252"/>
      <c r="I508" s="252"/>
      <c r="J508" s="253"/>
      <c r="K508" s="92"/>
    </row>
    <row r="509" spans="1:11" ht="12.75">
      <c r="A509" s="244">
        <v>512511</v>
      </c>
      <c r="B509" s="244"/>
      <c r="C509" s="244" t="s">
        <v>126</v>
      </c>
      <c r="D509" s="245"/>
      <c r="E509" s="245"/>
      <c r="F509" s="245"/>
      <c r="G509" s="237"/>
      <c r="H509" s="262"/>
      <c r="I509" s="262"/>
      <c r="J509" s="253"/>
      <c r="K509" s="92"/>
    </row>
    <row r="510" spans="1:11" ht="12.75">
      <c r="A510" s="244">
        <v>512521</v>
      </c>
      <c r="B510" s="244"/>
      <c r="C510" s="244" t="s">
        <v>127</v>
      </c>
      <c r="D510" s="245"/>
      <c r="E510" s="245"/>
      <c r="F510" s="245"/>
      <c r="G510" s="237"/>
      <c r="H510" s="262"/>
      <c r="I510" s="262"/>
      <c r="J510" s="253"/>
      <c r="K510" s="92"/>
    </row>
    <row r="511" spans="1:11" ht="12.75">
      <c r="A511" s="247">
        <v>5125</v>
      </c>
      <c r="B511" s="247"/>
      <c r="C511" s="247" t="s">
        <v>128</v>
      </c>
      <c r="D511" s="248"/>
      <c r="E511" s="248"/>
      <c r="F511" s="248"/>
      <c r="G511" s="237"/>
      <c r="H511" s="252"/>
      <c r="I511" s="252"/>
      <c r="J511" s="253"/>
      <c r="K511" s="92"/>
    </row>
    <row r="512" spans="1:11" ht="12.75">
      <c r="A512" s="251"/>
      <c r="B512" s="251"/>
      <c r="C512" s="247" t="s">
        <v>135</v>
      </c>
      <c r="D512" s="248">
        <f>D508+D503</f>
        <v>1392532.5</v>
      </c>
      <c r="E512" s="248">
        <f>E508+E503</f>
        <v>1400000</v>
      </c>
      <c r="F512" s="248">
        <f>D512*100/E512</f>
        <v>99.46660714285714</v>
      </c>
      <c r="G512" s="237"/>
      <c r="H512" s="252"/>
      <c r="I512" s="252"/>
      <c r="J512" s="253"/>
      <c r="K512" s="92"/>
    </row>
    <row r="513" spans="1:11" ht="12.75">
      <c r="A513" s="251"/>
      <c r="B513" s="251"/>
      <c r="C513" s="247" t="s">
        <v>202</v>
      </c>
      <c r="D513" s="248"/>
      <c r="E513" s="248">
        <f>E514+E515+E516</f>
        <v>10037000</v>
      </c>
      <c r="F513" s="248"/>
      <c r="G513" s="237"/>
      <c r="H513" s="252"/>
      <c r="I513" s="252"/>
      <c r="J513" s="253"/>
      <c r="K513" s="92"/>
    </row>
    <row r="514" spans="1:11" ht="12.75">
      <c r="A514" s="251"/>
      <c r="B514" s="251"/>
      <c r="C514" s="247" t="s">
        <v>190</v>
      </c>
      <c r="D514" s="248"/>
      <c r="E514" s="248">
        <v>4000000</v>
      </c>
      <c r="F514" s="248"/>
      <c r="G514" s="237"/>
      <c r="H514" s="252"/>
      <c r="I514" s="252"/>
      <c r="J514" s="253"/>
      <c r="K514" s="92"/>
    </row>
    <row r="515" spans="1:11" ht="12.75">
      <c r="A515" s="251"/>
      <c r="B515" s="251"/>
      <c r="C515" s="247" t="s">
        <v>191</v>
      </c>
      <c r="D515" s="248"/>
      <c r="E515" s="248">
        <v>1437000</v>
      </c>
      <c r="F515" s="248"/>
      <c r="G515" s="237"/>
      <c r="H515" s="252"/>
      <c r="I515" s="252"/>
      <c r="J515" s="253"/>
      <c r="K515" s="92"/>
    </row>
    <row r="516" spans="1:11" ht="12.75">
      <c r="A516" s="254"/>
      <c r="B516" s="254"/>
      <c r="C516" s="264" t="s">
        <v>239</v>
      </c>
      <c r="D516" s="281"/>
      <c r="E516" s="281">
        <v>4600000</v>
      </c>
      <c r="F516" s="245"/>
      <c r="G516" s="237"/>
      <c r="H516" s="262"/>
      <c r="I516" s="262"/>
      <c r="J516" s="253"/>
      <c r="K516" s="92"/>
    </row>
    <row r="517" spans="1:11" ht="12.75">
      <c r="A517" s="254"/>
      <c r="B517" s="254"/>
      <c r="C517" s="264" t="s">
        <v>167</v>
      </c>
      <c r="D517" s="281">
        <f>D497+D512</f>
        <v>6610667.489999999</v>
      </c>
      <c r="E517" s="281">
        <f>E497+E512+E513</f>
        <v>33977000</v>
      </c>
      <c r="F517" s="248">
        <f>D517*100/E517</f>
        <v>19.4563012920505</v>
      </c>
      <c r="G517" s="237"/>
      <c r="H517" s="252"/>
      <c r="I517" s="252"/>
      <c r="J517" s="253"/>
      <c r="K517" s="92"/>
    </row>
    <row r="518" spans="1:11" ht="13.5" thickBot="1">
      <c r="A518" s="235"/>
      <c r="B518" s="235"/>
      <c r="C518" s="235" t="s">
        <v>283</v>
      </c>
      <c r="D518" s="235"/>
      <c r="E518" s="235"/>
      <c r="F518" s="235"/>
      <c r="G518" s="235"/>
      <c r="H518" s="235"/>
      <c r="I518" s="235"/>
      <c r="J518" s="237"/>
      <c r="K518" s="27" t="s">
        <v>171</v>
      </c>
    </row>
    <row r="519" spans="1:11" ht="34.5" thickBot="1">
      <c r="A519" s="303" t="s">
        <v>0</v>
      </c>
      <c r="B519" s="239" t="s">
        <v>208</v>
      </c>
      <c r="C519" s="303" t="s">
        <v>1</v>
      </c>
      <c r="D519" s="303" t="s">
        <v>2</v>
      </c>
      <c r="E519" s="303" t="s">
        <v>3</v>
      </c>
      <c r="F519" s="304" t="s">
        <v>4</v>
      </c>
      <c r="G519" s="303" t="s">
        <v>133</v>
      </c>
      <c r="H519" s="303" t="s">
        <v>6</v>
      </c>
      <c r="I519" s="305" t="s">
        <v>7</v>
      </c>
      <c r="J519" s="306" t="s">
        <v>175</v>
      </c>
      <c r="K519" s="82" t="s">
        <v>170</v>
      </c>
    </row>
    <row r="520" spans="1:11" ht="12.75">
      <c r="A520" s="241">
        <v>411111</v>
      </c>
      <c r="B520" s="241"/>
      <c r="C520" s="241" t="s">
        <v>8</v>
      </c>
      <c r="D520" s="243">
        <v>70678290.52</v>
      </c>
      <c r="E520" s="243">
        <v>68087492.37</v>
      </c>
      <c r="F520" s="243"/>
      <c r="G520" s="243">
        <v>2590798.15</v>
      </c>
      <c r="H520" s="243"/>
      <c r="I520" s="243"/>
      <c r="J520" s="242"/>
      <c r="K520" s="83"/>
    </row>
    <row r="521" spans="1:11" ht="12.75">
      <c r="A521" s="244">
        <v>411112</v>
      </c>
      <c r="B521" s="244"/>
      <c r="C521" s="244" t="s">
        <v>93</v>
      </c>
      <c r="D521" s="245">
        <v>701310.26</v>
      </c>
      <c r="E521" s="245">
        <v>701310.26</v>
      </c>
      <c r="F521" s="245"/>
      <c r="G521" s="245"/>
      <c r="H521" s="245"/>
      <c r="I521" s="245"/>
      <c r="J521" s="246"/>
      <c r="K521" s="84"/>
    </row>
    <row r="522" spans="1:11" ht="12.75">
      <c r="A522" s="244">
        <v>411113</v>
      </c>
      <c r="B522" s="244"/>
      <c r="C522" s="244" t="s">
        <v>9</v>
      </c>
      <c r="D522" s="245">
        <v>320610.99</v>
      </c>
      <c r="E522" s="245">
        <v>320610.99</v>
      </c>
      <c r="F522" s="245"/>
      <c r="G522" s="245"/>
      <c r="H522" s="245"/>
      <c r="I522" s="245"/>
      <c r="J522" s="246"/>
      <c r="K522" s="84"/>
    </row>
    <row r="523" spans="1:11" ht="12.75">
      <c r="A523" s="244">
        <v>411114</v>
      </c>
      <c r="B523" s="244"/>
      <c r="C523" s="244" t="s">
        <v>10</v>
      </c>
      <c r="D523" s="245">
        <v>435473.33</v>
      </c>
      <c r="E523" s="245">
        <v>435473.33</v>
      </c>
      <c r="F523" s="245"/>
      <c r="G523" s="245"/>
      <c r="H523" s="245"/>
      <c r="I523" s="245"/>
      <c r="J523" s="246"/>
      <c r="K523" s="84"/>
    </row>
    <row r="524" spans="1:11" ht="12.75">
      <c r="A524" s="244">
        <v>411115</v>
      </c>
      <c r="B524" s="244"/>
      <c r="C524" s="244" t="s">
        <v>11</v>
      </c>
      <c r="D524" s="245">
        <v>4736398.51</v>
      </c>
      <c r="E524" s="245">
        <v>4736398.51</v>
      </c>
      <c r="F524" s="245"/>
      <c r="G524" s="245"/>
      <c r="H524" s="245"/>
      <c r="I524" s="245"/>
      <c r="J524" s="246"/>
      <c r="K524" s="84"/>
    </row>
    <row r="525" spans="1:11" ht="12.75">
      <c r="A525" s="244">
        <v>411117</v>
      </c>
      <c r="B525" s="244"/>
      <c r="C525" s="244" t="s">
        <v>12</v>
      </c>
      <c r="D525" s="245">
        <v>1012899.65</v>
      </c>
      <c r="E525" s="245">
        <v>1012899.65</v>
      </c>
      <c r="F525" s="245"/>
      <c r="G525" s="245"/>
      <c r="H525" s="245"/>
      <c r="I525" s="245"/>
      <c r="J525" s="246"/>
      <c r="K525" s="84"/>
    </row>
    <row r="526" spans="1:11" ht="12.75">
      <c r="A526" s="247">
        <v>4111</v>
      </c>
      <c r="B526" s="247"/>
      <c r="C526" s="247" t="s">
        <v>92</v>
      </c>
      <c r="D526" s="248">
        <f>SUM(D520:D525)</f>
        <v>77884983.26</v>
      </c>
      <c r="E526" s="248">
        <f>SUM(E520:E525)</f>
        <v>75294185.11000001</v>
      </c>
      <c r="F526" s="248"/>
      <c r="G526" s="248">
        <f>SUM(G520:G525)</f>
        <v>2590798.15</v>
      </c>
      <c r="H526" s="248"/>
      <c r="I526" s="248"/>
      <c r="J526" s="249"/>
      <c r="K526" s="90"/>
    </row>
    <row r="527" spans="1:11" ht="12.75">
      <c r="A527" s="244">
        <v>412111</v>
      </c>
      <c r="B527" s="244"/>
      <c r="C527" s="244" t="s">
        <v>13</v>
      </c>
      <c r="D527" s="245">
        <v>8589604.95</v>
      </c>
      <c r="E527" s="245">
        <v>8303046.17</v>
      </c>
      <c r="F527" s="245"/>
      <c r="G527" s="245">
        <v>286558.78</v>
      </c>
      <c r="H527" s="245"/>
      <c r="I527" s="245"/>
      <c r="J527" s="246"/>
      <c r="K527" s="84"/>
    </row>
    <row r="528" spans="1:11" ht="12.75">
      <c r="A528" s="244">
        <v>412113</v>
      </c>
      <c r="B528" s="244"/>
      <c r="C528" s="244" t="s">
        <v>129</v>
      </c>
      <c r="D528" s="245">
        <v>416742.75</v>
      </c>
      <c r="E528" s="245"/>
      <c r="F528" s="245"/>
      <c r="G528" s="245">
        <v>416742.75</v>
      </c>
      <c r="H528" s="245"/>
      <c r="I528" s="245"/>
      <c r="J528" s="246"/>
      <c r="K528" s="84"/>
    </row>
    <row r="529" spans="1:11" ht="12.75">
      <c r="A529" s="247">
        <v>4121</v>
      </c>
      <c r="B529" s="247"/>
      <c r="C529" s="247" t="s">
        <v>94</v>
      </c>
      <c r="D529" s="248">
        <f>SUM(D527:D528)</f>
        <v>9006347.7</v>
      </c>
      <c r="E529" s="248">
        <f>SUM(E527:E528)</f>
        <v>8303046.17</v>
      </c>
      <c r="F529" s="248"/>
      <c r="G529" s="248">
        <f>SUM(G527:G528)</f>
        <v>703301.53</v>
      </c>
      <c r="H529" s="248"/>
      <c r="I529" s="248"/>
      <c r="J529" s="246"/>
      <c r="K529" s="84"/>
    </row>
    <row r="530" spans="1:11" ht="12.75">
      <c r="A530" s="244">
        <v>412211</v>
      </c>
      <c r="B530" s="244"/>
      <c r="C530" s="244" t="s">
        <v>14</v>
      </c>
      <c r="D530" s="245">
        <v>4802370.03</v>
      </c>
      <c r="E530" s="245">
        <v>4642157.63</v>
      </c>
      <c r="F530" s="245"/>
      <c r="G530" s="245">
        <v>160212.4</v>
      </c>
      <c r="H530" s="245"/>
      <c r="I530" s="245"/>
      <c r="J530" s="246"/>
      <c r="K530" s="84"/>
    </row>
    <row r="531" spans="1:11" ht="12.75">
      <c r="A531" s="247">
        <v>4122</v>
      </c>
      <c r="B531" s="247"/>
      <c r="C531" s="247" t="s">
        <v>14</v>
      </c>
      <c r="D531" s="248">
        <f>SUM(D530)</f>
        <v>4802370.03</v>
      </c>
      <c r="E531" s="248">
        <f>SUM(E530)</f>
        <v>4642157.63</v>
      </c>
      <c r="F531" s="248"/>
      <c r="G531" s="248">
        <f>SUM(G530)</f>
        <v>160212.4</v>
      </c>
      <c r="H531" s="248"/>
      <c r="I531" s="248"/>
      <c r="J531" s="246"/>
      <c r="K531" s="84"/>
    </row>
    <row r="532" spans="1:11" ht="12.75">
      <c r="A532" s="244">
        <v>412311</v>
      </c>
      <c r="B532" s="244"/>
      <c r="C532" s="244" t="s">
        <v>95</v>
      </c>
      <c r="D532" s="245">
        <v>585654.88</v>
      </c>
      <c r="E532" s="245">
        <v>566116.77</v>
      </c>
      <c r="F532" s="245"/>
      <c r="G532" s="245">
        <v>19538.11</v>
      </c>
      <c r="H532" s="245"/>
      <c r="I532" s="245"/>
      <c r="J532" s="246"/>
      <c r="K532" s="84"/>
    </row>
    <row r="533" spans="1:11" ht="12.75">
      <c r="A533" s="247">
        <v>4123</v>
      </c>
      <c r="B533" s="247"/>
      <c r="C533" s="247" t="s">
        <v>96</v>
      </c>
      <c r="D533" s="248">
        <f>SUM(D532)</f>
        <v>585654.88</v>
      </c>
      <c r="E533" s="248">
        <f>SUM(E532)</f>
        <v>566116.77</v>
      </c>
      <c r="F533" s="248"/>
      <c r="G533" s="248">
        <f>SUM(G532)</f>
        <v>19538.11</v>
      </c>
      <c r="H533" s="248"/>
      <c r="I533" s="248"/>
      <c r="J533" s="246"/>
      <c r="K533" s="84"/>
    </row>
    <row r="534" spans="1:11" ht="12.75">
      <c r="A534" s="247"/>
      <c r="B534" s="247"/>
      <c r="C534" s="247" t="s">
        <v>174</v>
      </c>
      <c r="D534" s="248">
        <f aca="true" t="shared" si="9" ref="D534:I534">D533+D531+D529+D526</f>
        <v>92279355.87</v>
      </c>
      <c r="E534" s="248">
        <f t="shared" si="9"/>
        <v>88805505.68</v>
      </c>
      <c r="F534" s="248">
        <f t="shared" si="9"/>
        <v>0</v>
      </c>
      <c r="G534" s="248">
        <f t="shared" si="9"/>
        <v>3473850.19</v>
      </c>
      <c r="H534" s="248">
        <f t="shared" si="9"/>
        <v>0</v>
      </c>
      <c r="I534" s="248">
        <f t="shared" si="9"/>
        <v>0</v>
      </c>
      <c r="J534" s="249">
        <v>220216425</v>
      </c>
      <c r="K534" s="96">
        <f>D534*100/J534</f>
        <v>41.90393875933641</v>
      </c>
    </row>
    <row r="535" spans="1:11" ht="12.75">
      <c r="A535" s="244">
        <v>413151</v>
      </c>
      <c r="B535" s="244"/>
      <c r="C535" s="244" t="s">
        <v>15</v>
      </c>
      <c r="D535" s="245">
        <v>34400</v>
      </c>
      <c r="E535" s="245"/>
      <c r="F535" s="245"/>
      <c r="G535" s="245"/>
      <c r="H535" s="245">
        <v>34400</v>
      </c>
      <c r="I535" s="245"/>
      <c r="J535" s="246"/>
      <c r="K535" s="101"/>
    </row>
    <row r="536" spans="1:11" ht="12.75">
      <c r="A536" s="244">
        <v>415112</v>
      </c>
      <c r="B536" s="244"/>
      <c r="C536" s="244" t="s">
        <v>21</v>
      </c>
      <c r="D536" s="245">
        <v>1943711.77</v>
      </c>
      <c r="E536" s="245">
        <v>1788736.09</v>
      </c>
      <c r="F536" s="245"/>
      <c r="G536" s="245">
        <v>154975.68</v>
      </c>
      <c r="H536" s="245"/>
      <c r="I536" s="245"/>
      <c r="J536" s="246"/>
      <c r="K536" s="101"/>
    </row>
    <row r="537" spans="1:11" ht="12.75">
      <c r="A537" s="247">
        <v>4131</v>
      </c>
      <c r="B537" s="247"/>
      <c r="C537" s="247" t="s">
        <v>178</v>
      </c>
      <c r="D537" s="248">
        <f aca="true" t="shared" si="10" ref="D537:I537">SUM(D535:D536)</f>
        <v>1978111.77</v>
      </c>
      <c r="E537" s="248">
        <f t="shared" si="10"/>
        <v>1788736.09</v>
      </c>
      <c r="F537" s="248">
        <f t="shared" si="10"/>
        <v>0</v>
      </c>
      <c r="G537" s="248">
        <f t="shared" si="10"/>
        <v>154975.68</v>
      </c>
      <c r="H537" s="248">
        <f t="shared" si="10"/>
        <v>34400</v>
      </c>
      <c r="I537" s="248">
        <f t="shared" si="10"/>
        <v>0</v>
      </c>
      <c r="J537" s="248">
        <v>4362300</v>
      </c>
      <c r="K537" s="103">
        <f>SUM(K535:K536)</f>
        <v>0</v>
      </c>
    </row>
    <row r="538" spans="1:11" ht="12.75">
      <c r="A538" s="244">
        <v>414111</v>
      </c>
      <c r="B538" s="244"/>
      <c r="C538" s="244" t="s">
        <v>16</v>
      </c>
      <c r="D538" s="245">
        <v>1287876.63</v>
      </c>
      <c r="E538" s="245"/>
      <c r="F538" s="245"/>
      <c r="G538" s="245"/>
      <c r="H538" s="245"/>
      <c r="I538" s="245">
        <v>1287876.63</v>
      </c>
      <c r="J538" s="246"/>
      <c r="K538" s="101"/>
    </row>
    <row r="539" spans="1:11" ht="12.75">
      <c r="A539" s="244">
        <v>414121</v>
      </c>
      <c r="B539" s="244"/>
      <c r="C539" s="244" t="s">
        <v>17</v>
      </c>
      <c r="D539" s="245">
        <v>147394</v>
      </c>
      <c r="E539" s="245"/>
      <c r="F539" s="245"/>
      <c r="G539" s="245"/>
      <c r="H539" s="245"/>
      <c r="I539" s="245">
        <v>147394</v>
      </c>
      <c r="J539" s="246"/>
      <c r="K539" s="101"/>
    </row>
    <row r="540" spans="1:11" ht="12.75">
      <c r="A540" s="244">
        <v>414131</v>
      </c>
      <c r="B540" s="244"/>
      <c r="C540" s="244" t="s">
        <v>18</v>
      </c>
      <c r="D540" s="245">
        <v>62203.1</v>
      </c>
      <c r="E540" s="245"/>
      <c r="F540" s="245"/>
      <c r="G540" s="245">
        <v>62203.1</v>
      </c>
      <c r="H540" s="245"/>
      <c r="I540" s="245"/>
      <c r="J540" s="246"/>
      <c r="K540" s="101"/>
    </row>
    <row r="541" spans="1:11" ht="12.75">
      <c r="A541" s="247">
        <v>4141</v>
      </c>
      <c r="B541" s="247"/>
      <c r="C541" s="247" t="s">
        <v>98</v>
      </c>
      <c r="D541" s="248">
        <f>SUM(D538:D540)</f>
        <v>1497473.73</v>
      </c>
      <c r="E541" s="248"/>
      <c r="F541" s="248"/>
      <c r="G541" s="248">
        <f>SUM(G538:G540)</f>
        <v>62203.1</v>
      </c>
      <c r="H541" s="248"/>
      <c r="I541" s="248">
        <f>SUM(I538:I540)</f>
        <v>1435270.63</v>
      </c>
      <c r="J541" s="246"/>
      <c r="K541" s="108"/>
    </row>
    <row r="542" spans="1:11" ht="12.75">
      <c r="A542" s="247"/>
      <c r="B542" s="247"/>
      <c r="C542" s="247" t="s">
        <v>179</v>
      </c>
      <c r="D542" s="248">
        <f aca="true" t="shared" si="11" ref="D542:I542">D545+D547+D550+D556+D564+D569+D571+D575+D578+D581+D583+D585+D587+D593+D606+D610+D612+D614+D618+D622+D628+D630+D634</f>
        <v>5006532.9799999995</v>
      </c>
      <c r="E542" s="248">
        <f t="shared" si="11"/>
        <v>2113817.94</v>
      </c>
      <c r="F542" s="248">
        <f t="shared" si="11"/>
        <v>1633750.0000000002</v>
      </c>
      <c r="G542" s="248">
        <f t="shared" si="11"/>
        <v>1088071.8199999998</v>
      </c>
      <c r="H542" s="248">
        <f t="shared" si="11"/>
        <v>166370.22000000003</v>
      </c>
      <c r="I542" s="248">
        <f t="shared" si="11"/>
        <v>4523</v>
      </c>
      <c r="J542" s="248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44">
        <v>414311</v>
      </c>
      <c r="B543" s="244"/>
      <c r="C543" s="244" t="s">
        <v>19</v>
      </c>
      <c r="D543" s="245">
        <v>329847</v>
      </c>
      <c r="E543" s="245">
        <v>163848</v>
      </c>
      <c r="F543" s="245"/>
      <c r="G543" s="245">
        <v>165999</v>
      </c>
      <c r="H543" s="245"/>
      <c r="I543" s="245"/>
      <c r="J543" s="246"/>
      <c r="K543" s="84"/>
    </row>
    <row r="544" spans="1:11" ht="12.75">
      <c r="A544" s="244">
        <v>414314</v>
      </c>
      <c r="B544" s="244"/>
      <c r="C544" s="244" t="s">
        <v>20</v>
      </c>
      <c r="D544" s="245">
        <v>136782</v>
      </c>
      <c r="E544" s="245"/>
      <c r="F544" s="245"/>
      <c r="G544" s="245">
        <v>136782</v>
      </c>
      <c r="H544" s="245"/>
      <c r="I544" s="245"/>
      <c r="J544" s="246"/>
      <c r="K544" s="84"/>
    </row>
    <row r="545" spans="1:11" ht="12.75">
      <c r="A545" s="247">
        <v>4143</v>
      </c>
      <c r="B545" s="247"/>
      <c r="C545" s="247" t="s">
        <v>99</v>
      </c>
      <c r="D545" s="248">
        <f>SUM(D543:D544)</f>
        <v>466629</v>
      </c>
      <c r="E545" s="248">
        <f>SUM(E543:E544)</f>
        <v>163848</v>
      </c>
      <c r="F545" s="248"/>
      <c r="G545" s="248">
        <f>SUM(G543:G544)</f>
        <v>302781</v>
      </c>
      <c r="H545" s="248"/>
      <c r="I545" s="248"/>
      <c r="J545" s="246">
        <v>0</v>
      </c>
      <c r="K545" s="84"/>
    </row>
    <row r="546" spans="1:11" ht="12.75">
      <c r="A546" s="244">
        <v>421111</v>
      </c>
      <c r="B546" s="244"/>
      <c r="C546" s="244" t="s">
        <v>22</v>
      </c>
      <c r="D546" s="245">
        <v>329191.55</v>
      </c>
      <c r="E546" s="245">
        <v>278481.54</v>
      </c>
      <c r="F546" s="245"/>
      <c r="G546" s="245">
        <v>41210.21</v>
      </c>
      <c r="H546" s="245">
        <v>4976.8</v>
      </c>
      <c r="I546" s="245">
        <v>4523</v>
      </c>
      <c r="J546" s="246"/>
      <c r="K546" s="84"/>
    </row>
    <row r="547" spans="1:11" ht="12.75">
      <c r="A547" s="247">
        <v>4211</v>
      </c>
      <c r="B547" s="247"/>
      <c r="C547" s="247" t="s">
        <v>101</v>
      </c>
      <c r="D547" s="248">
        <f>SUM(D546)</f>
        <v>329191.55</v>
      </c>
      <c r="E547" s="248">
        <f>SUM(E546)</f>
        <v>278481.54</v>
      </c>
      <c r="F547" s="248"/>
      <c r="G547" s="248">
        <f>SUM(G546)</f>
        <v>41210.21</v>
      </c>
      <c r="H547" s="248">
        <f>SUM(H546)</f>
        <v>4976.8</v>
      </c>
      <c r="I547" s="248">
        <f>SUM(I546)</f>
        <v>4523</v>
      </c>
      <c r="J547" s="249">
        <v>400000</v>
      </c>
      <c r="K547" s="90">
        <f>D547*100/J547</f>
        <v>82.2978875</v>
      </c>
    </row>
    <row r="548" spans="1:11" ht="12.75">
      <c r="A548" s="244">
        <v>421311</v>
      </c>
      <c r="B548" s="244"/>
      <c r="C548" s="244" t="s">
        <v>25</v>
      </c>
      <c r="D548" s="245">
        <v>402958.32</v>
      </c>
      <c r="E548" s="245">
        <v>115403.72</v>
      </c>
      <c r="F548" s="245">
        <v>287554.6</v>
      </c>
      <c r="G548" s="245"/>
      <c r="H548" s="245"/>
      <c r="I548" s="245"/>
      <c r="J548" s="246"/>
      <c r="K548" s="84"/>
    </row>
    <row r="549" spans="1:11" ht="12.75">
      <c r="A549" s="244">
        <v>421324</v>
      </c>
      <c r="B549" s="244"/>
      <c r="C549" s="244" t="s">
        <v>26</v>
      </c>
      <c r="D549" s="245">
        <v>223094.73</v>
      </c>
      <c r="E549" s="245">
        <v>173122.8</v>
      </c>
      <c r="F549" s="245"/>
      <c r="G549" s="245"/>
      <c r="H549" s="245">
        <v>49971.93</v>
      </c>
      <c r="I549" s="245"/>
      <c r="J549" s="246"/>
      <c r="K549" s="84"/>
    </row>
    <row r="550" spans="1:11" ht="12.75">
      <c r="A550" s="247">
        <v>4213</v>
      </c>
      <c r="B550" s="247"/>
      <c r="C550" s="247" t="s">
        <v>103</v>
      </c>
      <c r="D550" s="248">
        <f>SUM(D548:D549)</f>
        <v>626053.05</v>
      </c>
      <c r="E550" s="248">
        <f>SUM(E548:E549)</f>
        <v>288526.52</v>
      </c>
      <c r="F550" s="248">
        <f>SUM(F548:F549)</f>
        <v>287554.6</v>
      </c>
      <c r="G550" s="248">
        <f>SUM(G548:G549)</f>
        <v>0</v>
      </c>
      <c r="H550" s="248">
        <f>SUM(H548:H549)</f>
        <v>49971.93</v>
      </c>
      <c r="I550" s="248"/>
      <c r="J550" s="249">
        <f>750000+400000</f>
        <v>1150000</v>
      </c>
      <c r="K550" s="84"/>
    </row>
    <row r="551" spans="1:11" ht="12.75">
      <c r="A551" s="244">
        <v>421411</v>
      </c>
      <c r="B551" s="244"/>
      <c r="C551" s="244" t="s">
        <v>27</v>
      </c>
      <c r="D551" s="245">
        <v>34715.6</v>
      </c>
      <c r="E551" s="245">
        <v>34715.6</v>
      </c>
      <c r="F551" s="245"/>
      <c r="G551" s="245"/>
      <c r="H551" s="245"/>
      <c r="I551" s="245"/>
      <c r="J551" s="246"/>
      <c r="K551" s="84"/>
    </row>
    <row r="552" spans="1:11" ht="12.75">
      <c r="A552" s="244">
        <v>421412</v>
      </c>
      <c r="B552" s="244"/>
      <c r="C552" s="244" t="s">
        <v>28</v>
      </c>
      <c r="D552" s="245">
        <v>11800</v>
      </c>
      <c r="E552" s="245"/>
      <c r="F552" s="245"/>
      <c r="G552" s="245">
        <v>11800</v>
      </c>
      <c r="H552" s="245"/>
      <c r="I552" s="245"/>
      <c r="J552" s="246"/>
      <c r="K552" s="84"/>
    </row>
    <row r="553" spans="1:11" ht="12.75">
      <c r="A553" s="244">
        <v>421414</v>
      </c>
      <c r="B553" s="244"/>
      <c r="C553" s="244" t="s">
        <v>29</v>
      </c>
      <c r="D553" s="245">
        <v>14139.92</v>
      </c>
      <c r="E553" s="245"/>
      <c r="F553" s="245"/>
      <c r="G553" s="245">
        <v>14139.92</v>
      </c>
      <c r="H553" s="245"/>
      <c r="I553" s="245"/>
      <c r="J553" s="246"/>
      <c r="K553" s="84"/>
    </row>
    <row r="554" spans="1:11" ht="12.75">
      <c r="A554" s="244">
        <v>421421</v>
      </c>
      <c r="B554" s="244"/>
      <c r="C554" s="244" t="s">
        <v>30</v>
      </c>
      <c r="D554" s="245">
        <v>8000</v>
      </c>
      <c r="E554" s="245">
        <v>8000</v>
      </c>
      <c r="F554" s="245"/>
      <c r="G554" s="245"/>
      <c r="H554" s="245"/>
      <c r="I554" s="245"/>
      <c r="J554" s="246"/>
      <c r="K554" s="84"/>
    </row>
    <row r="555" spans="1:11" ht="12.75">
      <c r="A555" s="244">
        <v>421422</v>
      </c>
      <c r="B555" s="244"/>
      <c r="C555" s="244" t="s">
        <v>31</v>
      </c>
      <c r="D555" s="245">
        <v>44345</v>
      </c>
      <c r="E555" s="245">
        <v>44345</v>
      </c>
      <c r="F555" s="245"/>
      <c r="G555" s="245"/>
      <c r="H555" s="245"/>
      <c r="I555" s="245"/>
      <c r="J555" s="246"/>
      <c r="K555" s="84"/>
    </row>
    <row r="556" spans="1:11" ht="12.75">
      <c r="A556" s="247">
        <v>4214</v>
      </c>
      <c r="B556" s="247"/>
      <c r="C556" s="247" t="s">
        <v>104</v>
      </c>
      <c r="D556" s="248">
        <f>SUM(D551:D555)</f>
        <v>113000.51999999999</v>
      </c>
      <c r="E556" s="248">
        <f>SUM(E551:E555)</f>
        <v>87060.6</v>
      </c>
      <c r="F556" s="248"/>
      <c r="G556" s="248">
        <f>SUM(G551:G555)</f>
        <v>25939.92</v>
      </c>
      <c r="H556" s="248"/>
      <c r="I556" s="248"/>
      <c r="J556" s="249">
        <v>600000</v>
      </c>
      <c r="K556" s="84"/>
    </row>
    <row r="557" spans="1:11" ht="12.75">
      <c r="A557" s="307"/>
      <c r="B557" s="307"/>
      <c r="C557" s="307"/>
      <c r="D557" s="308"/>
      <c r="E557" s="308"/>
      <c r="F557" s="308"/>
      <c r="G557" s="308"/>
      <c r="H557" s="308"/>
      <c r="I557" s="308"/>
      <c r="J557" s="246"/>
      <c r="K557" s="84"/>
    </row>
    <row r="558" spans="1:11" ht="13.5" thickBot="1">
      <c r="A558" s="247"/>
      <c r="B558" s="247"/>
      <c r="C558" s="247"/>
      <c r="D558" s="248"/>
      <c r="E558" s="248"/>
      <c r="F558" s="248"/>
      <c r="G558" s="248"/>
      <c r="H558" s="248"/>
      <c r="I558" s="294"/>
      <c r="J558" s="280"/>
      <c r="K558" s="85" t="s">
        <v>172</v>
      </c>
    </row>
    <row r="559" spans="1:11" ht="34.5" thickBot="1">
      <c r="A559" s="303" t="s">
        <v>0</v>
      </c>
      <c r="B559" s="239" t="s">
        <v>208</v>
      </c>
      <c r="C559" s="303" t="s">
        <v>1</v>
      </c>
      <c r="D559" s="303" t="s">
        <v>2</v>
      </c>
      <c r="E559" s="303" t="s">
        <v>3</v>
      </c>
      <c r="F559" s="304" t="s">
        <v>4</v>
      </c>
      <c r="G559" s="303" t="s">
        <v>133</v>
      </c>
      <c r="H559" s="303" t="s">
        <v>6</v>
      </c>
      <c r="I559" s="305" t="s">
        <v>7</v>
      </c>
      <c r="J559" s="309" t="s">
        <v>175</v>
      </c>
      <c r="K559" s="86" t="s">
        <v>170</v>
      </c>
    </row>
    <row r="560" spans="1:11" ht="12.75">
      <c r="A560" s="244">
        <v>421512</v>
      </c>
      <c r="B560" s="244"/>
      <c r="C560" s="244" t="s">
        <v>32</v>
      </c>
      <c r="D560" s="245">
        <v>118529.28</v>
      </c>
      <c r="E560" s="245">
        <v>117929.28</v>
      </c>
      <c r="F560" s="245"/>
      <c r="G560" s="245">
        <v>600</v>
      </c>
      <c r="H560" s="245"/>
      <c r="I560" s="245"/>
      <c r="J560" s="242">
        <v>130000</v>
      </c>
      <c r="K560" s="83"/>
    </row>
    <row r="561" spans="1:11" ht="12.75">
      <c r="A561" s="244">
        <v>421513</v>
      </c>
      <c r="B561" s="244"/>
      <c r="C561" s="244" t="s">
        <v>33</v>
      </c>
      <c r="D561" s="245">
        <v>175635.68</v>
      </c>
      <c r="E561" s="245">
        <v>175635.68</v>
      </c>
      <c r="F561" s="245"/>
      <c r="G561" s="245"/>
      <c r="H561" s="245"/>
      <c r="I561" s="245"/>
      <c r="J561" s="246"/>
      <c r="K561" s="84"/>
    </row>
    <row r="562" spans="1:11" ht="12.75">
      <c r="A562" s="244">
        <v>421519</v>
      </c>
      <c r="B562" s="244"/>
      <c r="C562" s="244" t="s">
        <v>34</v>
      </c>
      <c r="D562" s="245">
        <v>458165.39</v>
      </c>
      <c r="E562" s="245">
        <v>458165.39</v>
      </c>
      <c r="F562" s="245"/>
      <c r="G562" s="245"/>
      <c r="H562" s="245"/>
      <c r="I562" s="245"/>
      <c r="J562" s="246">
        <v>1860000</v>
      </c>
      <c r="K562" s="84"/>
    </row>
    <row r="563" spans="1:11" ht="12.75">
      <c r="A563" s="244">
        <v>421521</v>
      </c>
      <c r="B563" s="244"/>
      <c r="C563" s="244" t="s">
        <v>35</v>
      </c>
      <c r="D563" s="245">
        <v>36468</v>
      </c>
      <c r="E563" s="245">
        <v>36468</v>
      </c>
      <c r="F563" s="245"/>
      <c r="G563" s="245"/>
      <c r="H563" s="245"/>
      <c r="I563" s="245"/>
      <c r="J563" s="246">
        <v>220000</v>
      </c>
      <c r="K563" s="84"/>
    </row>
    <row r="564" spans="1:11" ht="12.75">
      <c r="A564" s="247">
        <v>4215</v>
      </c>
      <c r="B564" s="247"/>
      <c r="C564" s="247" t="s">
        <v>169</v>
      </c>
      <c r="D564" s="248">
        <f>SUM(D560:D563)</f>
        <v>788798.35</v>
      </c>
      <c r="E564" s="248">
        <f>SUM(E560:E563)</f>
        <v>788198.35</v>
      </c>
      <c r="F564" s="248"/>
      <c r="G564" s="248">
        <f>SUM(G560:G563)</f>
        <v>600</v>
      </c>
      <c r="H564" s="248"/>
      <c r="I564" s="248"/>
      <c r="J564" s="249">
        <f>SUM(J560:J563)</f>
        <v>2210000</v>
      </c>
      <c r="K564" s="84"/>
    </row>
    <row r="565" spans="1:11" ht="12.75">
      <c r="A565" s="244">
        <v>422111</v>
      </c>
      <c r="B565" s="244"/>
      <c r="C565" s="244" t="s">
        <v>36</v>
      </c>
      <c r="D565" s="245">
        <v>42400</v>
      </c>
      <c r="E565" s="245"/>
      <c r="F565" s="245"/>
      <c r="G565" s="245">
        <v>42400</v>
      </c>
      <c r="H565" s="245"/>
      <c r="I565" s="245"/>
      <c r="J565" s="246"/>
      <c r="K565" s="84"/>
    </row>
    <row r="566" spans="1:11" ht="12.75">
      <c r="A566" s="244">
        <v>422121</v>
      </c>
      <c r="B566" s="244"/>
      <c r="C566" s="244" t="s">
        <v>37</v>
      </c>
      <c r="D566" s="245">
        <v>29806.81</v>
      </c>
      <c r="E566" s="245"/>
      <c r="F566" s="245"/>
      <c r="G566" s="245">
        <v>29806.81</v>
      </c>
      <c r="H566" s="245"/>
      <c r="I566" s="245"/>
      <c r="J566" s="246"/>
      <c r="K566" s="84"/>
    </row>
    <row r="567" spans="1:11" ht="12.75">
      <c r="A567" s="244">
        <v>422194</v>
      </c>
      <c r="B567" s="244"/>
      <c r="C567" s="244" t="s">
        <v>38</v>
      </c>
      <c r="D567" s="245">
        <v>0</v>
      </c>
      <c r="E567" s="245"/>
      <c r="F567" s="245"/>
      <c r="G567" s="245"/>
      <c r="H567" s="245"/>
      <c r="I567" s="245"/>
      <c r="J567" s="246"/>
      <c r="K567" s="84"/>
    </row>
    <row r="568" spans="1:11" ht="12.75">
      <c r="A568" s="244">
        <v>422199</v>
      </c>
      <c r="B568" s="244"/>
      <c r="C568" s="244" t="s">
        <v>39</v>
      </c>
      <c r="D568" s="245">
        <v>15600</v>
      </c>
      <c r="E568" s="245"/>
      <c r="F568" s="245"/>
      <c r="G568" s="245">
        <v>15600</v>
      </c>
      <c r="H568" s="245"/>
      <c r="I568" s="245"/>
      <c r="J568" s="246"/>
      <c r="K568" s="84"/>
    </row>
    <row r="569" spans="1:11" ht="12.75">
      <c r="A569" s="247">
        <v>4221</v>
      </c>
      <c r="B569" s="247"/>
      <c r="C569" s="247" t="s">
        <v>105</v>
      </c>
      <c r="D569" s="248">
        <f>SUM(D565:D568)</f>
        <v>87806.81</v>
      </c>
      <c r="E569" s="248"/>
      <c r="F569" s="248"/>
      <c r="G569" s="248">
        <f>SUM(G565:G568)</f>
        <v>87806.81</v>
      </c>
      <c r="H569" s="248"/>
      <c r="I569" s="248"/>
      <c r="J569" s="246"/>
      <c r="K569" s="84"/>
    </row>
    <row r="570" spans="1:11" ht="12.75">
      <c r="A570" s="244">
        <v>423291</v>
      </c>
      <c r="B570" s="244"/>
      <c r="C570" s="244" t="s">
        <v>40</v>
      </c>
      <c r="D570" s="245">
        <v>68748</v>
      </c>
      <c r="E570" s="245">
        <v>45148</v>
      </c>
      <c r="F570" s="245"/>
      <c r="G570" s="245">
        <v>23600</v>
      </c>
      <c r="H570" s="245"/>
      <c r="I570" s="245"/>
      <c r="J570" s="246"/>
      <c r="K570" s="84"/>
    </row>
    <row r="571" spans="1:11" ht="12.75">
      <c r="A571" s="247">
        <v>4232</v>
      </c>
      <c r="B571" s="247"/>
      <c r="C571" s="247" t="s">
        <v>106</v>
      </c>
      <c r="D571" s="248">
        <f>SUM(D570)</f>
        <v>68748</v>
      </c>
      <c r="E571" s="248">
        <f>SUM(E570)</f>
        <v>45148</v>
      </c>
      <c r="F571" s="248"/>
      <c r="G571" s="248">
        <f>SUM(G570)</f>
        <v>23600</v>
      </c>
      <c r="H571" s="248"/>
      <c r="I571" s="248"/>
      <c r="J571" s="249">
        <v>100000</v>
      </c>
      <c r="K571" s="84"/>
    </row>
    <row r="572" spans="1:11" ht="12.75">
      <c r="A572" s="244">
        <v>423311</v>
      </c>
      <c r="B572" s="244"/>
      <c r="C572" s="244" t="s">
        <v>42</v>
      </c>
      <c r="D572" s="245">
        <v>90000</v>
      </c>
      <c r="E572" s="245"/>
      <c r="F572" s="245"/>
      <c r="G572" s="245">
        <v>90000</v>
      </c>
      <c r="H572" s="245"/>
      <c r="I572" s="245"/>
      <c r="J572" s="246"/>
      <c r="K572" s="84"/>
    </row>
    <row r="573" spans="1:11" ht="12.75">
      <c r="A573" s="244">
        <v>423321</v>
      </c>
      <c r="B573" s="244"/>
      <c r="C573" s="244" t="s">
        <v>41</v>
      </c>
      <c r="D573" s="245">
        <v>2720</v>
      </c>
      <c r="E573" s="245"/>
      <c r="F573" s="245"/>
      <c r="G573" s="245">
        <v>2720</v>
      </c>
      <c r="H573" s="245"/>
      <c r="I573" s="245"/>
      <c r="J573" s="246"/>
      <c r="K573" s="84"/>
    </row>
    <row r="574" spans="1:11" ht="12.75">
      <c r="A574" s="244">
        <v>4233910</v>
      </c>
      <c r="B574" s="244"/>
      <c r="C574" s="244" t="s">
        <v>130</v>
      </c>
      <c r="D574" s="245">
        <v>62307.99</v>
      </c>
      <c r="E574" s="245"/>
      <c r="F574" s="245"/>
      <c r="G574" s="245">
        <v>62307.99</v>
      </c>
      <c r="H574" s="245"/>
      <c r="I574" s="245"/>
      <c r="J574" s="246"/>
      <c r="K574" s="84"/>
    </row>
    <row r="575" spans="1:11" ht="12.75">
      <c r="A575" s="247">
        <v>4233</v>
      </c>
      <c r="B575" s="247"/>
      <c r="C575" s="247" t="s">
        <v>107</v>
      </c>
      <c r="D575" s="248">
        <f>SUM(D572:D574)</f>
        <v>155027.99</v>
      </c>
      <c r="E575" s="248"/>
      <c r="F575" s="248"/>
      <c r="G575" s="248">
        <f>SUM(G572:G574)</f>
        <v>155027.99</v>
      </c>
      <c r="H575" s="248"/>
      <c r="I575" s="248"/>
      <c r="J575" s="246"/>
      <c r="K575" s="84"/>
    </row>
    <row r="576" spans="1:11" ht="12.75">
      <c r="A576" s="244">
        <v>423421</v>
      </c>
      <c r="B576" s="244"/>
      <c r="C576" s="244" t="s">
        <v>43</v>
      </c>
      <c r="D576" s="245">
        <v>6499.99</v>
      </c>
      <c r="E576" s="245"/>
      <c r="F576" s="245"/>
      <c r="G576" s="245">
        <v>6499.99</v>
      </c>
      <c r="H576" s="245"/>
      <c r="I576" s="245"/>
      <c r="J576" s="246"/>
      <c r="K576" s="84"/>
    </row>
    <row r="577" spans="1:11" ht="12.75">
      <c r="A577" s="259">
        <v>423432</v>
      </c>
      <c r="B577" s="259"/>
      <c r="C577" s="259" t="s">
        <v>44</v>
      </c>
      <c r="D577" s="260">
        <v>53980.44</v>
      </c>
      <c r="E577" s="260"/>
      <c r="F577" s="260"/>
      <c r="G577" s="260">
        <v>53980.44</v>
      </c>
      <c r="H577" s="260"/>
      <c r="I577" s="260"/>
      <c r="J577" s="246"/>
      <c r="K577" s="84"/>
    </row>
    <row r="578" spans="1:11" ht="12.75">
      <c r="A578" s="247">
        <v>4234</v>
      </c>
      <c r="B578" s="247"/>
      <c r="C578" s="247" t="s">
        <v>108</v>
      </c>
      <c r="D578" s="248">
        <f>SUM(D576:D577)</f>
        <v>60480.43</v>
      </c>
      <c r="E578" s="248"/>
      <c r="F578" s="248"/>
      <c r="G578" s="248">
        <f>SUM(G576:G577)</f>
        <v>60480.43</v>
      </c>
      <c r="H578" s="248"/>
      <c r="I578" s="248"/>
      <c r="J578" s="246"/>
      <c r="K578" s="84"/>
    </row>
    <row r="579" spans="1:11" ht="12.75">
      <c r="A579" s="244">
        <v>423539</v>
      </c>
      <c r="B579" s="244"/>
      <c r="C579" s="244" t="s">
        <v>131</v>
      </c>
      <c r="D579" s="245">
        <v>88000</v>
      </c>
      <c r="E579" s="245"/>
      <c r="F579" s="245"/>
      <c r="G579" s="245"/>
      <c r="H579" s="245">
        <v>88000</v>
      </c>
      <c r="I579" s="245"/>
      <c r="J579" s="246"/>
      <c r="K579" s="84"/>
    </row>
    <row r="580" spans="1:11" ht="12.75">
      <c r="A580" s="244">
        <v>423599</v>
      </c>
      <c r="B580" s="244"/>
      <c r="C580" s="244" t="s">
        <v>45</v>
      </c>
      <c r="D580" s="245">
        <v>101790.15</v>
      </c>
      <c r="E580" s="245"/>
      <c r="F580" s="245"/>
      <c r="G580" s="245">
        <v>101790.15</v>
      </c>
      <c r="H580" s="245"/>
      <c r="I580" s="245"/>
      <c r="J580" s="246"/>
      <c r="K580" s="84"/>
    </row>
    <row r="581" spans="1:11" ht="12.75">
      <c r="A581" s="247">
        <v>4235</v>
      </c>
      <c r="B581" s="247"/>
      <c r="C581" s="247" t="s">
        <v>109</v>
      </c>
      <c r="D581" s="248">
        <f>SUM(D579:D580)</f>
        <v>189790.15</v>
      </c>
      <c r="E581" s="248"/>
      <c r="F581" s="248"/>
      <c r="G581" s="248">
        <f>SUM(G579:G580)</f>
        <v>101790.15</v>
      </c>
      <c r="H581" s="248">
        <f>SUM(H579:H580)</f>
        <v>88000</v>
      </c>
      <c r="I581" s="248"/>
      <c r="J581" s="246">
        <v>50000</v>
      </c>
      <c r="K581" s="84"/>
    </row>
    <row r="582" spans="1:11" ht="12.75">
      <c r="A582" s="244">
        <v>423611</v>
      </c>
      <c r="B582" s="244"/>
      <c r="C582" s="244" t="s">
        <v>46</v>
      </c>
      <c r="D582" s="245">
        <v>612933.3</v>
      </c>
      <c r="E582" s="245"/>
      <c r="F582" s="245">
        <v>612933.3</v>
      </c>
      <c r="G582" s="245"/>
      <c r="H582" s="245"/>
      <c r="I582" s="245"/>
      <c r="J582" s="246"/>
      <c r="K582" s="84"/>
    </row>
    <row r="583" spans="1:11" ht="12.75">
      <c r="A583" s="247">
        <v>4236</v>
      </c>
      <c r="B583" s="247"/>
      <c r="C583" s="247" t="s">
        <v>110</v>
      </c>
      <c r="D583" s="248">
        <f>SUM(D582)</f>
        <v>612933.3</v>
      </c>
      <c r="E583" s="248">
        <f>SUM(E582)</f>
        <v>0</v>
      </c>
      <c r="F583" s="248">
        <f>SUM(F582)</f>
        <v>612933.3</v>
      </c>
      <c r="G583" s="248"/>
      <c r="H583" s="248"/>
      <c r="I583" s="248"/>
      <c r="J583" s="249">
        <v>2800000</v>
      </c>
      <c r="K583" s="84"/>
    </row>
    <row r="584" spans="1:11" ht="12.75">
      <c r="A584" s="244">
        <v>423711</v>
      </c>
      <c r="B584" s="244"/>
      <c r="C584" s="244" t="s">
        <v>47</v>
      </c>
      <c r="D584" s="245">
        <v>6768.34</v>
      </c>
      <c r="E584" s="245"/>
      <c r="F584" s="245"/>
      <c r="G584" s="245">
        <v>6768.34</v>
      </c>
      <c r="H584" s="245"/>
      <c r="I584" s="245"/>
      <c r="J584" s="246"/>
      <c r="K584" s="84"/>
    </row>
    <row r="585" spans="1:11" ht="12.75">
      <c r="A585" s="247">
        <v>4237</v>
      </c>
      <c r="B585" s="247"/>
      <c r="C585" s="247" t="s">
        <v>47</v>
      </c>
      <c r="D585" s="248">
        <f>SUM(D584)</f>
        <v>6768.34</v>
      </c>
      <c r="E585" s="248"/>
      <c r="F585" s="248"/>
      <c r="G585" s="248">
        <f>SUM(G584)</f>
        <v>6768.34</v>
      </c>
      <c r="H585" s="248"/>
      <c r="I585" s="248"/>
      <c r="J585" s="246"/>
      <c r="K585" s="84"/>
    </row>
    <row r="586" spans="1:11" ht="12.75">
      <c r="A586" s="244">
        <v>423911</v>
      </c>
      <c r="B586" s="244"/>
      <c r="C586" s="244" t="s">
        <v>48</v>
      </c>
      <c r="D586" s="245">
        <v>26048</v>
      </c>
      <c r="E586" s="245">
        <v>26048</v>
      </c>
      <c r="F586" s="245"/>
      <c r="G586" s="245"/>
      <c r="H586" s="245"/>
      <c r="I586" s="245"/>
      <c r="J586" s="246"/>
      <c r="K586" s="84"/>
    </row>
    <row r="587" spans="1:11" ht="12.75">
      <c r="A587" s="247">
        <v>4239</v>
      </c>
      <c r="B587" s="247"/>
      <c r="C587" s="247" t="s">
        <v>48</v>
      </c>
      <c r="D587" s="248">
        <f>SUM(D586)</f>
        <v>26048</v>
      </c>
      <c r="E587" s="248">
        <f>SUM(E586)</f>
        <v>26048</v>
      </c>
      <c r="F587" s="248"/>
      <c r="G587" s="248"/>
      <c r="H587" s="248"/>
      <c r="I587" s="248"/>
      <c r="J587" s="249">
        <v>150000</v>
      </c>
      <c r="K587" s="84"/>
    </row>
    <row r="588" spans="1:11" ht="12.75">
      <c r="A588" s="244">
        <v>424351</v>
      </c>
      <c r="B588" s="244"/>
      <c r="C588" s="244" t="s">
        <v>49</v>
      </c>
      <c r="D588" s="245">
        <v>0</v>
      </c>
      <c r="E588" s="245"/>
      <c r="F588" s="245"/>
      <c r="G588" s="245"/>
      <c r="H588" s="245"/>
      <c r="I588" s="245"/>
      <c r="J588" s="246"/>
      <c r="K588" s="84"/>
    </row>
    <row r="589" spans="1:11" ht="12.75">
      <c r="A589" s="247">
        <v>4243</v>
      </c>
      <c r="B589" s="247"/>
      <c r="C589" s="247" t="s">
        <v>111</v>
      </c>
      <c r="D589" s="248">
        <f>SUM(D588)</f>
        <v>0</v>
      </c>
      <c r="E589" s="248"/>
      <c r="F589" s="248"/>
      <c r="G589" s="248"/>
      <c r="H589" s="248"/>
      <c r="I589" s="248"/>
      <c r="J589" s="249">
        <v>120000</v>
      </c>
      <c r="K589" s="84"/>
    </row>
    <row r="590" spans="1:11" ht="12.75">
      <c r="A590" s="244">
        <v>425112</v>
      </c>
      <c r="B590" s="244"/>
      <c r="C590" s="244" t="s">
        <v>50</v>
      </c>
      <c r="D590" s="245">
        <v>10358.04</v>
      </c>
      <c r="E590" s="245">
        <v>10358.04</v>
      </c>
      <c r="F590" s="245"/>
      <c r="G590" s="245"/>
      <c r="H590" s="245"/>
      <c r="I590" s="245"/>
      <c r="J590" s="246"/>
      <c r="K590" s="84"/>
    </row>
    <row r="591" spans="1:11" ht="12.75">
      <c r="A591" s="244">
        <v>425115</v>
      </c>
      <c r="B591" s="244"/>
      <c r="C591" s="244" t="s">
        <v>51</v>
      </c>
      <c r="D591" s="245">
        <v>11145.1</v>
      </c>
      <c r="E591" s="245">
        <v>11145.1</v>
      </c>
      <c r="F591" s="245"/>
      <c r="G591" s="245"/>
      <c r="H591" s="245"/>
      <c r="I591" s="245"/>
      <c r="J591" s="246"/>
      <c r="K591" s="84"/>
    </row>
    <row r="592" spans="1:11" ht="12.75">
      <c r="A592" s="244">
        <v>425117</v>
      </c>
      <c r="B592" s="244"/>
      <c r="C592" s="244" t="s">
        <v>52</v>
      </c>
      <c r="D592" s="245">
        <v>35272.32</v>
      </c>
      <c r="E592" s="245">
        <v>15361</v>
      </c>
      <c r="F592" s="245"/>
      <c r="G592" s="245"/>
      <c r="H592" s="245">
        <v>19911.32</v>
      </c>
      <c r="I592" s="245"/>
      <c r="J592" s="246"/>
      <c r="K592" s="84"/>
    </row>
    <row r="593" spans="1:11" ht="12.75">
      <c r="A593" s="247">
        <v>4251</v>
      </c>
      <c r="B593" s="247"/>
      <c r="C593" s="247" t="s">
        <v>112</v>
      </c>
      <c r="D593" s="248">
        <f>SUM(D590:D592)</f>
        <v>56775.46</v>
      </c>
      <c r="E593" s="248">
        <f>SUM(E588:E592)</f>
        <v>36864.14</v>
      </c>
      <c r="F593" s="248"/>
      <c r="G593" s="248">
        <f>SUM(G588:G592)</f>
        <v>0</v>
      </c>
      <c r="H593" s="248">
        <f>SUM(H592)</f>
        <v>19911.32</v>
      </c>
      <c r="I593" s="248"/>
      <c r="J593" s="249">
        <v>162000</v>
      </c>
      <c r="K593" s="84"/>
    </row>
    <row r="594" spans="1:11" ht="12.75">
      <c r="A594" s="244">
        <v>425211</v>
      </c>
      <c r="B594" s="244"/>
      <c r="C594" s="244" t="s">
        <v>53</v>
      </c>
      <c r="D594" s="245">
        <v>18172</v>
      </c>
      <c r="E594" s="245">
        <v>18172</v>
      </c>
      <c r="F594" s="245"/>
      <c r="G594" s="245"/>
      <c r="H594" s="245"/>
      <c r="I594" s="245"/>
      <c r="J594" s="246">
        <v>750000</v>
      </c>
      <c r="K594" s="84"/>
    </row>
    <row r="595" spans="1:11" ht="12.75">
      <c r="A595" s="244">
        <v>425212</v>
      </c>
      <c r="B595" s="244"/>
      <c r="C595" s="244" t="s">
        <v>54</v>
      </c>
      <c r="D595" s="245">
        <v>0</v>
      </c>
      <c r="E595" s="245"/>
      <c r="F595" s="245"/>
      <c r="G595" s="245"/>
      <c r="H595" s="245"/>
      <c r="I595" s="245"/>
      <c r="J595" s="246">
        <v>600000</v>
      </c>
      <c r="K595" s="84"/>
    </row>
    <row r="596" spans="1:11" ht="12.75">
      <c r="A596" s="244">
        <v>425213</v>
      </c>
      <c r="B596" s="244"/>
      <c r="C596" s="244" t="s">
        <v>55</v>
      </c>
      <c r="D596" s="245">
        <v>0</v>
      </c>
      <c r="E596" s="245"/>
      <c r="F596" s="245"/>
      <c r="G596" s="245"/>
      <c r="H596" s="245"/>
      <c r="I596" s="245"/>
      <c r="J596" s="246"/>
      <c r="K596" s="84"/>
    </row>
    <row r="597" spans="1:11" ht="12.75">
      <c r="A597" s="244">
        <v>425222</v>
      </c>
      <c r="B597" s="244"/>
      <c r="C597" s="244" t="s">
        <v>56</v>
      </c>
      <c r="D597" s="245">
        <v>44185</v>
      </c>
      <c r="E597" s="245">
        <v>44185</v>
      </c>
      <c r="F597" s="245"/>
      <c r="G597" s="245"/>
      <c r="H597" s="245"/>
      <c r="I597" s="245"/>
      <c r="J597" s="246"/>
      <c r="K597" s="84"/>
    </row>
    <row r="598" spans="1:11" ht="12.75">
      <c r="A598" s="244">
        <v>425223</v>
      </c>
      <c r="B598" s="244"/>
      <c r="C598" s="244" t="s">
        <v>57</v>
      </c>
      <c r="D598" s="245">
        <v>38550</v>
      </c>
      <c r="E598" s="245">
        <v>38550</v>
      </c>
      <c r="F598" s="245"/>
      <c r="G598" s="245"/>
      <c r="H598" s="245"/>
      <c r="I598" s="245"/>
      <c r="J598" s="246"/>
      <c r="K598" s="84"/>
    </row>
    <row r="599" spans="1:11" ht="12.75">
      <c r="A599" s="244">
        <v>425225</v>
      </c>
      <c r="B599" s="244"/>
      <c r="C599" s="244" t="s">
        <v>58</v>
      </c>
      <c r="D599" s="245">
        <v>0</v>
      </c>
      <c r="E599" s="245"/>
      <c r="F599" s="245"/>
      <c r="G599" s="245"/>
      <c r="H599" s="245"/>
      <c r="I599" s="245"/>
      <c r="J599" s="246"/>
      <c r="K599" s="84"/>
    </row>
    <row r="600" spans="1:11" ht="12.75">
      <c r="A600" s="244">
        <v>425251</v>
      </c>
      <c r="B600" s="244"/>
      <c r="C600" s="244" t="s">
        <v>59</v>
      </c>
      <c r="D600" s="245">
        <v>106038</v>
      </c>
      <c r="E600" s="245"/>
      <c r="F600" s="245"/>
      <c r="G600" s="245">
        <v>106038</v>
      </c>
      <c r="H600" s="245"/>
      <c r="I600" s="245"/>
      <c r="J600" s="246">
        <v>850000</v>
      </c>
      <c r="K600" s="84"/>
    </row>
    <row r="601" spans="1:11" ht="12.75">
      <c r="A601" s="244">
        <v>425252</v>
      </c>
      <c r="B601" s="244"/>
      <c r="C601" s="244" t="s">
        <v>60</v>
      </c>
      <c r="D601" s="245">
        <v>0</v>
      </c>
      <c r="E601" s="245"/>
      <c r="F601" s="245"/>
      <c r="G601" s="245"/>
      <c r="H601" s="245"/>
      <c r="I601" s="245"/>
      <c r="J601" s="246"/>
      <c r="K601" s="84"/>
    </row>
    <row r="602" spans="1:11" ht="13.5" thickBot="1">
      <c r="A602" s="310"/>
      <c r="B602" s="310"/>
      <c r="C602" s="310"/>
      <c r="D602" s="311"/>
      <c r="E602" s="311"/>
      <c r="F602" s="311"/>
      <c r="G602" s="311"/>
      <c r="H602" s="311"/>
      <c r="I602" s="311"/>
      <c r="J602" s="312"/>
      <c r="K602" s="87" t="s">
        <v>173</v>
      </c>
    </row>
    <row r="603" spans="1:11" ht="34.5" thickBot="1">
      <c r="A603" s="303" t="s">
        <v>0</v>
      </c>
      <c r="B603" s="239" t="s">
        <v>208</v>
      </c>
      <c r="C603" s="303" t="s">
        <v>1</v>
      </c>
      <c r="D603" s="303" t="s">
        <v>2</v>
      </c>
      <c r="E603" s="303" t="s">
        <v>3</v>
      </c>
      <c r="F603" s="304" t="s">
        <v>4</v>
      </c>
      <c r="G603" s="303" t="s">
        <v>133</v>
      </c>
      <c r="H603" s="303" t="s">
        <v>6</v>
      </c>
      <c r="I603" s="305" t="s">
        <v>7</v>
      </c>
      <c r="J603" s="309" t="s">
        <v>175</v>
      </c>
      <c r="K603" s="86" t="s">
        <v>170</v>
      </c>
    </row>
    <row r="604" spans="1:11" ht="12.75">
      <c r="A604" s="244">
        <v>425281</v>
      </c>
      <c r="B604" s="244"/>
      <c r="C604" s="244" t="s">
        <v>61</v>
      </c>
      <c r="D604" s="245">
        <v>3524</v>
      </c>
      <c r="E604" s="245">
        <v>3524</v>
      </c>
      <c r="F604" s="245"/>
      <c r="G604" s="245"/>
      <c r="H604" s="245"/>
      <c r="I604" s="245"/>
      <c r="J604" s="242"/>
      <c r="K604" s="83"/>
    </row>
    <row r="605" spans="1:11" ht="12.75">
      <c r="A605" s="244">
        <v>425291</v>
      </c>
      <c r="B605" s="244"/>
      <c r="C605" s="244" t="s">
        <v>62</v>
      </c>
      <c r="D605" s="245">
        <v>53836.8</v>
      </c>
      <c r="E605" s="245">
        <v>53686.8</v>
      </c>
      <c r="F605" s="245"/>
      <c r="G605" s="245">
        <v>150</v>
      </c>
      <c r="H605" s="245"/>
      <c r="I605" s="245"/>
      <c r="J605" s="246"/>
      <c r="K605" s="84"/>
    </row>
    <row r="606" spans="1:11" ht="12.75">
      <c r="A606" s="247">
        <v>4252</v>
      </c>
      <c r="B606" s="247"/>
      <c r="C606" s="247" t="s">
        <v>113</v>
      </c>
      <c r="D606" s="248">
        <f>D594+D595+D596+D597+D598+D599+D600+D601+D604+D605</f>
        <v>264305.8</v>
      </c>
      <c r="E606" s="248">
        <f>E594+E595+E596+E597+E598+E599+E600+E601+E604+E605</f>
        <v>158117.8</v>
      </c>
      <c r="F606" s="248"/>
      <c r="G606" s="248">
        <f>SUM(G599:G605)</f>
        <v>106188</v>
      </c>
      <c r="H606" s="248"/>
      <c r="I606" s="248"/>
      <c r="J606" s="249">
        <f>J594+J595+J596+J597+J598+J599+J600+J601+J604+J605</f>
        <v>2200000</v>
      </c>
      <c r="K606" s="84"/>
    </row>
    <row r="607" spans="1:11" ht="12.75">
      <c r="A607" s="244">
        <v>426111</v>
      </c>
      <c r="B607" s="244"/>
      <c r="C607" s="244" t="s">
        <v>63</v>
      </c>
      <c r="D607" s="245">
        <v>439441.28</v>
      </c>
      <c r="E607" s="245"/>
      <c r="F607" s="245">
        <v>439441.28</v>
      </c>
      <c r="G607" s="245"/>
      <c r="H607" s="245"/>
      <c r="I607" s="245"/>
      <c r="J607" s="246"/>
      <c r="K607" s="84"/>
    </row>
    <row r="608" spans="1:11" ht="12.75">
      <c r="A608" s="244">
        <v>426121</v>
      </c>
      <c r="B608" s="244"/>
      <c r="C608" s="244" t="s">
        <v>132</v>
      </c>
      <c r="D608" s="245">
        <v>8484.2</v>
      </c>
      <c r="E608" s="245">
        <v>8484.2</v>
      </c>
      <c r="F608" s="245"/>
      <c r="G608" s="245"/>
      <c r="H608" s="245"/>
      <c r="I608" s="245"/>
      <c r="J608" s="246"/>
      <c r="K608" s="84"/>
    </row>
    <row r="609" spans="1:11" ht="12.75">
      <c r="A609" s="244">
        <v>426129</v>
      </c>
      <c r="B609" s="244"/>
      <c r="C609" s="244" t="s">
        <v>64</v>
      </c>
      <c r="D609" s="245">
        <v>5392.6</v>
      </c>
      <c r="E609" s="245">
        <v>5392.6</v>
      </c>
      <c r="F609" s="245"/>
      <c r="G609" s="245"/>
      <c r="H609" s="245"/>
      <c r="I609" s="245"/>
      <c r="J609" s="246"/>
      <c r="K609" s="84"/>
    </row>
    <row r="610" spans="1:11" ht="12.75">
      <c r="A610" s="247">
        <v>4261</v>
      </c>
      <c r="B610" s="247"/>
      <c r="C610" s="247" t="s">
        <v>114</v>
      </c>
      <c r="D610" s="248">
        <f>SUM(D607:D609)</f>
        <v>453318.08</v>
      </c>
      <c r="E610" s="248">
        <f>SUM(E607:E609)</f>
        <v>13876.800000000001</v>
      </c>
      <c r="F610" s="248">
        <f>SUM(F607:F609)</f>
        <v>439441.28</v>
      </c>
      <c r="G610" s="248"/>
      <c r="H610" s="248"/>
      <c r="I610" s="248"/>
      <c r="J610" s="249">
        <v>1150000</v>
      </c>
      <c r="K610" s="84"/>
    </row>
    <row r="611" spans="1:11" ht="12.75">
      <c r="A611" s="244">
        <v>426311</v>
      </c>
      <c r="B611" s="244"/>
      <c r="C611" s="244" t="s">
        <v>65</v>
      </c>
      <c r="D611" s="245">
        <v>77900</v>
      </c>
      <c r="E611" s="245"/>
      <c r="F611" s="245"/>
      <c r="G611" s="245">
        <v>77900</v>
      </c>
      <c r="H611" s="245"/>
      <c r="I611" s="245"/>
      <c r="J611" s="246"/>
      <c r="K611" s="84"/>
    </row>
    <row r="612" spans="1:11" ht="12.75">
      <c r="A612" s="247">
        <v>4263</v>
      </c>
      <c r="B612" s="247"/>
      <c r="C612" s="247" t="s">
        <v>115</v>
      </c>
      <c r="D612" s="248">
        <f>SUM(D611)</f>
        <v>77900</v>
      </c>
      <c r="E612" s="248"/>
      <c r="F612" s="248"/>
      <c r="G612" s="248">
        <f>SUM(G611)</f>
        <v>77900</v>
      </c>
      <c r="H612" s="248"/>
      <c r="I612" s="248"/>
      <c r="J612" s="246"/>
      <c r="K612" s="84"/>
    </row>
    <row r="613" spans="1:11" ht="12.75">
      <c r="A613" s="244">
        <v>426491</v>
      </c>
      <c r="B613" s="244"/>
      <c r="C613" s="244" t="s">
        <v>69</v>
      </c>
      <c r="D613" s="245">
        <v>293820.82</v>
      </c>
      <c r="E613" s="245"/>
      <c r="F613" s="245">
        <v>293820.82</v>
      </c>
      <c r="G613" s="245"/>
      <c r="H613" s="245"/>
      <c r="I613" s="245"/>
      <c r="J613" s="246"/>
      <c r="K613" s="84"/>
    </row>
    <row r="614" spans="1:11" ht="12.75">
      <c r="A614" s="247">
        <v>4264</v>
      </c>
      <c r="B614" s="247"/>
      <c r="C614" s="247" t="s">
        <v>116</v>
      </c>
      <c r="D614" s="248">
        <f>SUM(D613)</f>
        <v>293820.82</v>
      </c>
      <c r="E614" s="248">
        <f>SUM(E613)</f>
        <v>0</v>
      </c>
      <c r="F614" s="248">
        <f>SUM(F613)</f>
        <v>293820.82</v>
      </c>
      <c r="G614" s="248">
        <f>SUM(G613)</f>
        <v>0</v>
      </c>
      <c r="H614" s="248"/>
      <c r="I614" s="248"/>
      <c r="J614" s="248">
        <v>100000</v>
      </c>
      <c r="K614" s="37"/>
    </row>
    <row r="615" spans="1:11" ht="12.75">
      <c r="A615" s="244">
        <v>426811</v>
      </c>
      <c r="B615" s="244"/>
      <c r="C615" s="244" t="s">
        <v>76</v>
      </c>
      <c r="D615" s="245">
        <v>60097.97</v>
      </c>
      <c r="E615" s="245">
        <v>60097.97</v>
      </c>
      <c r="F615" s="245"/>
      <c r="G615" s="245"/>
      <c r="H615" s="245"/>
      <c r="I615" s="245"/>
      <c r="J615" s="246"/>
      <c r="K615" s="84"/>
    </row>
    <row r="616" spans="1:11" ht="12.75">
      <c r="A616" s="244">
        <v>426812</v>
      </c>
      <c r="B616" s="244"/>
      <c r="C616" s="244" t="s">
        <v>77</v>
      </c>
      <c r="D616" s="245">
        <v>16461</v>
      </c>
      <c r="E616" s="245">
        <v>16461</v>
      </c>
      <c r="F616" s="245"/>
      <c r="G616" s="245"/>
      <c r="H616" s="245"/>
      <c r="I616" s="245"/>
      <c r="J616" s="246"/>
      <c r="K616" s="84"/>
    </row>
    <row r="617" spans="1:11" ht="12.75">
      <c r="A617" s="244">
        <v>426819</v>
      </c>
      <c r="B617" s="244"/>
      <c r="C617" s="244" t="s">
        <v>78</v>
      </c>
      <c r="D617" s="245">
        <v>0</v>
      </c>
      <c r="E617" s="245"/>
      <c r="F617" s="245"/>
      <c r="G617" s="245"/>
      <c r="H617" s="245"/>
      <c r="I617" s="245"/>
      <c r="J617" s="246"/>
      <c r="K617" s="84"/>
    </row>
    <row r="618" spans="1:11" ht="12.75">
      <c r="A618" s="247">
        <v>4268</v>
      </c>
      <c r="B618" s="247"/>
      <c r="C618" s="247" t="s">
        <v>118</v>
      </c>
      <c r="D618" s="248">
        <f>SUM(D615:D617)</f>
        <v>76558.97</v>
      </c>
      <c r="E618" s="248">
        <f>SUM(E615:E617)</f>
        <v>76558.97</v>
      </c>
      <c r="F618" s="248"/>
      <c r="G618" s="248"/>
      <c r="H618" s="248"/>
      <c r="I618" s="248"/>
      <c r="J618" s="249">
        <v>300000</v>
      </c>
      <c r="K618" s="84"/>
    </row>
    <row r="619" spans="1:11" ht="12.75">
      <c r="A619" s="244">
        <v>426911</v>
      </c>
      <c r="B619" s="244"/>
      <c r="C619" s="244" t="s">
        <v>79</v>
      </c>
      <c r="D619" s="245">
        <v>2637</v>
      </c>
      <c r="E619" s="245">
        <v>1358</v>
      </c>
      <c r="F619" s="245"/>
      <c r="G619" s="245">
        <v>1279</v>
      </c>
      <c r="H619" s="245"/>
      <c r="I619" s="245"/>
      <c r="J619" s="246"/>
      <c r="K619" s="84"/>
    </row>
    <row r="620" spans="1:11" ht="12.75">
      <c r="A620" s="244">
        <v>426913</v>
      </c>
      <c r="B620" s="244"/>
      <c r="C620" s="244" t="s">
        <v>80</v>
      </c>
      <c r="D620" s="245">
        <v>84536</v>
      </c>
      <c r="E620" s="245">
        <v>83536</v>
      </c>
      <c r="F620" s="245"/>
      <c r="G620" s="245">
        <v>1000</v>
      </c>
      <c r="H620" s="245"/>
      <c r="I620" s="245"/>
      <c r="J620" s="246"/>
      <c r="K620" s="84"/>
    </row>
    <row r="621" spans="1:11" ht="12.75">
      <c r="A621" s="244">
        <v>426919</v>
      </c>
      <c r="B621" s="244"/>
      <c r="C621" s="244" t="s">
        <v>186</v>
      </c>
      <c r="D621" s="245">
        <v>16583.72</v>
      </c>
      <c r="E621" s="245">
        <v>16583.72</v>
      </c>
      <c r="F621" s="245"/>
      <c r="G621" s="245"/>
      <c r="H621" s="245"/>
      <c r="I621" s="245"/>
      <c r="J621" s="246">
        <v>1530000</v>
      </c>
      <c r="K621" s="84"/>
    </row>
    <row r="622" spans="1:11" ht="12.75">
      <c r="A622" s="247">
        <v>4269</v>
      </c>
      <c r="B622" s="247"/>
      <c r="C622" s="247" t="s">
        <v>119</v>
      </c>
      <c r="D622" s="248">
        <f>SUM(D619:D621)</f>
        <v>103756.72</v>
      </c>
      <c r="E622" s="248">
        <f>SUM(E619:E621)</f>
        <v>101477.72</v>
      </c>
      <c r="F622" s="248"/>
      <c r="G622" s="248">
        <f>SUM(G619:G621)</f>
        <v>2279</v>
      </c>
      <c r="H622" s="248"/>
      <c r="I622" s="248"/>
      <c r="J622" s="249">
        <f>SUM(J619:J621)</f>
        <v>1530000</v>
      </c>
      <c r="K622" s="84"/>
    </row>
    <row r="623" spans="1:11" ht="12.75">
      <c r="A623" s="244">
        <v>431111</v>
      </c>
      <c r="B623" s="244"/>
      <c r="C623" s="244" t="s">
        <v>82</v>
      </c>
      <c r="D623" s="245"/>
      <c r="E623" s="245"/>
      <c r="F623" s="245"/>
      <c r="G623" s="245"/>
      <c r="H623" s="245"/>
      <c r="I623" s="245"/>
      <c r="J623" s="246"/>
      <c r="K623" s="84"/>
    </row>
    <row r="624" spans="1:11" ht="12.75">
      <c r="A624" s="247">
        <v>4311</v>
      </c>
      <c r="B624" s="247"/>
      <c r="C624" s="247" t="s">
        <v>83</v>
      </c>
      <c r="D624" s="248"/>
      <c r="E624" s="248"/>
      <c r="F624" s="248"/>
      <c r="G624" s="248"/>
      <c r="H624" s="248"/>
      <c r="I624" s="248"/>
      <c r="J624" s="246"/>
      <c r="K624" s="84"/>
    </row>
    <row r="625" spans="1:11" ht="12.75">
      <c r="A625" s="244">
        <v>431211</v>
      </c>
      <c r="B625" s="244"/>
      <c r="C625" s="244" t="s">
        <v>84</v>
      </c>
      <c r="D625" s="245"/>
      <c r="E625" s="245"/>
      <c r="F625" s="245"/>
      <c r="G625" s="245"/>
      <c r="H625" s="245"/>
      <c r="I625" s="245"/>
      <c r="J625" s="246"/>
      <c r="K625" s="84"/>
    </row>
    <row r="626" spans="1:11" ht="12.75">
      <c r="A626" s="247">
        <v>4312</v>
      </c>
      <c r="B626" s="247"/>
      <c r="C626" s="247" t="s">
        <v>84</v>
      </c>
      <c r="D626" s="248"/>
      <c r="E626" s="248"/>
      <c r="F626" s="248"/>
      <c r="G626" s="248"/>
      <c r="H626" s="248"/>
      <c r="I626" s="248"/>
      <c r="J626" s="246"/>
      <c r="K626" s="84"/>
    </row>
    <row r="627" spans="1:11" ht="12.75">
      <c r="A627" s="244">
        <v>444211</v>
      </c>
      <c r="B627" s="244"/>
      <c r="C627" s="244" t="s">
        <v>85</v>
      </c>
      <c r="D627" s="245">
        <v>5347.14</v>
      </c>
      <c r="E627" s="245"/>
      <c r="F627" s="245"/>
      <c r="G627" s="245">
        <v>4986.97</v>
      </c>
      <c r="H627" s="245">
        <v>360.17</v>
      </c>
      <c r="I627" s="245"/>
      <c r="J627" s="246"/>
      <c r="K627" s="84"/>
    </row>
    <row r="628" spans="1:11" ht="12.75">
      <c r="A628" s="247">
        <v>4442</v>
      </c>
      <c r="B628" s="247"/>
      <c r="C628" s="247" t="s">
        <v>85</v>
      </c>
      <c r="D628" s="248">
        <f>SUM(D627)</f>
        <v>5347.14</v>
      </c>
      <c r="E628" s="248"/>
      <c r="F628" s="248"/>
      <c r="G628" s="248">
        <f>SUM(G627)</f>
        <v>4986.97</v>
      </c>
      <c r="H628" s="248">
        <f>SUM(H627)</f>
        <v>360.17</v>
      </c>
      <c r="I628" s="248"/>
      <c r="J628" s="246"/>
      <c r="K628" s="84"/>
    </row>
    <row r="629" spans="1:11" ht="12.75">
      <c r="A629" s="244">
        <v>482131</v>
      </c>
      <c r="B629" s="244"/>
      <c r="C629" s="244" t="s">
        <v>86</v>
      </c>
      <c r="D629" s="245">
        <v>3142.5</v>
      </c>
      <c r="E629" s="245">
        <v>3142.5</v>
      </c>
      <c r="F629" s="245"/>
      <c r="G629" s="245"/>
      <c r="H629" s="245"/>
      <c r="I629" s="245"/>
      <c r="J629" s="246"/>
      <c r="K629" s="84"/>
    </row>
    <row r="630" spans="1:11" ht="12.75">
      <c r="A630" s="247">
        <v>4821</v>
      </c>
      <c r="B630" s="247"/>
      <c r="C630" s="247" t="s">
        <v>87</v>
      </c>
      <c r="D630" s="248">
        <f>SUM(D629)</f>
        <v>3142.5</v>
      </c>
      <c r="E630" s="248">
        <f>SUM(E629)</f>
        <v>3142.5</v>
      </c>
      <c r="F630" s="248"/>
      <c r="G630" s="248"/>
      <c r="H630" s="248"/>
      <c r="I630" s="248"/>
      <c r="J630" s="246"/>
      <c r="K630" s="84"/>
    </row>
    <row r="631" spans="1:11" ht="12.75">
      <c r="A631" s="244">
        <v>482211</v>
      </c>
      <c r="B631" s="244"/>
      <c r="C631" s="244" t="s">
        <v>88</v>
      </c>
      <c r="D631" s="245">
        <v>0</v>
      </c>
      <c r="E631" s="245"/>
      <c r="F631" s="245"/>
      <c r="G631" s="245"/>
      <c r="H631" s="245"/>
      <c r="I631" s="245"/>
      <c r="J631" s="246"/>
      <c r="K631" s="84"/>
    </row>
    <row r="632" spans="1:11" ht="12.75">
      <c r="A632" s="241">
        <v>482241</v>
      </c>
      <c r="B632" s="241"/>
      <c r="C632" s="241" t="s">
        <v>91</v>
      </c>
      <c r="D632" s="243">
        <v>43549</v>
      </c>
      <c r="E632" s="243">
        <v>40399</v>
      </c>
      <c r="F632" s="243"/>
      <c r="G632" s="243"/>
      <c r="H632" s="243">
        <v>3150</v>
      </c>
      <c r="I632" s="243"/>
      <c r="J632" s="246"/>
      <c r="K632" s="84"/>
    </row>
    <row r="633" spans="1:11" ht="12.75">
      <c r="A633" s="244">
        <v>482251</v>
      </c>
      <c r="B633" s="244"/>
      <c r="C633" s="244" t="s">
        <v>89</v>
      </c>
      <c r="D633" s="245">
        <v>96783</v>
      </c>
      <c r="E633" s="245">
        <v>6070</v>
      </c>
      <c r="F633" s="245"/>
      <c r="G633" s="245">
        <v>90713</v>
      </c>
      <c r="H633" s="245"/>
      <c r="I633" s="245"/>
      <c r="J633" s="246"/>
      <c r="K633" s="84"/>
    </row>
    <row r="634" spans="1:11" ht="12.75">
      <c r="A634" s="247">
        <v>4822</v>
      </c>
      <c r="B634" s="247"/>
      <c r="C634" s="247" t="s">
        <v>90</v>
      </c>
      <c r="D634" s="248">
        <f>SUM(D631:D633)</f>
        <v>140332</v>
      </c>
      <c r="E634" s="248">
        <f>SUM(E631:E633)</f>
        <v>46469</v>
      </c>
      <c r="F634" s="248"/>
      <c r="G634" s="248">
        <f>SUM(G631:G633)</f>
        <v>90713</v>
      </c>
      <c r="H634" s="248">
        <f>SUM(H631:H633)</f>
        <v>3150</v>
      </c>
      <c r="I634" s="248"/>
      <c r="J634" s="312"/>
      <c r="K634" s="87"/>
    </row>
    <row r="635" spans="1:11" ht="12.75">
      <c r="A635" s="247"/>
      <c r="B635" s="247"/>
      <c r="C635" s="247" t="s">
        <v>187</v>
      </c>
      <c r="D635" s="248"/>
      <c r="E635" s="248"/>
      <c r="F635" s="248"/>
      <c r="G635" s="248"/>
      <c r="H635" s="248"/>
      <c r="I635" s="248"/>
      <c r="J635" s="313">
        <v>2200000</v>
      </c>
      <c r="K635" s="87"/>
    </row>
    <row r="636" spans="1:11" ht="12.75">
      <c r="A636" s="247"/>
      <c r="B636" s="247"/>
      <c r="C636" s="247" t="s">
        <v>180</v>
      </c>
      <c r="D636" s="248">
        <f aca="true" t="shared" si="12" ref="D636:I636">D637+D638+D639+D640+D641</f>
        <v>2138892.28</v>
      </c>
      <c r="E636" s="248">
        <f t="shared" si="12"/>
        <v>2094060.63</v>
      </c>
      <c r="F636" s="248">
        <f t="shared" si="12"/>
        <v>0</v>
      </c>
      <c r="G636" s="248">
        <f t="shared" si="12"/>
        <v>700</v>
      </c>
      <c r="H636" s="248">
        <f t="shared" si="12"/>
        <v>44131.65</v>
      </c>
      <c r="I636" s="248">
        <f t="shared" si="12"/>
        <v>0</v>
      </c>
      <c r="J636" s="248">
        <v>14025000</v>
      </c>
      <c r="K636" s="98"/>
    </row>
    <row r="637" spans="1:11" ht="12.75">
      <c r="A637" s="244">
        <v>421211</v>
      </c>
      <c r="B637" s="244"/>
      <c r="C637" s="244" t="s">
        <v>23</v>
      </c>
      <c r="D637" s="245">
        <v>668574.08</v>
      </c>
      <c r="E637" s="245">
        <v>624442.43</v>
      </c>
      <c r="F637" s="245"/>
      <c r="G637" s="245"/>
      <c r="H637" s="245">
        <v>44131.65</v>
      </c>
      <c r="I637" s="245"/>
      <c r="J637" s="246">
        <v>3000000</v>
      </c>
      <c r="K637" s="106">
        <f>D637*100/J637</f>
        <v>22.285802666666665</v>
      </c>
    </row>
    <row r="638" spans="1:11" ht="12.75">
      <c r="A638" s="244">
        <v>421225</v>
      </c>
      <c r="B638" s="244"/>
      <c r="C638" s="244" t="s">
        <v>24</v>
      </c>
      <c r="D638" s="245">
        <v>41318.2</v>
      </c>
      <c r="E638" s="245">
        <v>41318.2</v>
      </c>
      <c r="F638" s="245"/>
      <c r="G638" s="245"/>
      <c r="H638" s="245"/>
      <c r="I638" s="245"/>
      <c r="J638" s="246">
        <v>4000000</v>
      </c>
      <c r="K638" s="106">
        <f>D638*100/J638</f>
        <v>1.0329549999999998</v>
      </c>
    </row>
    <row r="639" spans="1:11" ht="12.75">
      <c r="A639" s="244">
        <v>426411</v>
      </c>
      <c r="B639" s="244"/>
      <c r="C639" s="244" t="s">
        <v>66</v>
      </c>
      <c r="D639" s="245">
        <v>1229000</v>
      </c>
      <c r="E639" s="245">
        <v>1228300</v>
      </c>
      <c r="F639" s="245"/>
      <c r="G639" s="245">
        <v>700</v>
      </c>
      <c r="H639" s="245"/>
      <c r="I639" s="245"/>
      <c r="J639" s="246"/>
      <c r="K639" s="101"/>
    </row>
    <row r="640" spans="1:11" ht="12.75">
      <c r="A640" s="244">
        <v>426412</v>
      </c>
      <c r="B640" s="244"/>
      <c r="C640" s="244" t="s">
        <v>67</v>
      </c>
      <c r="D640" s="245">
        <v>200000</v>
      </c>
      <c r="E640" s="245">
        <v>200000</v>
      </c>
      <c r="F640" s="245"/>
      <c r="G640" s="245"/>
      <c r="H640" s="245"/>
      <c r="I640" s="245"/>
      <c r="J640" s="246"/>
      <c r="K640" s="101"/>
    </row>
    <row r="641" spans="1:11" ht="12.75">
      <c r="A641" s="244">
        <v>426413</v>
      </c>
      <c r="B641" s="244"/>
      <c r="C641" s="244" t="s">
        <v>68</v>
      </c>
      <c r="D641" s="245"/>
      <c r="E641" s="245"/>
      <c r="F641" s="245"/>
      <c r="G641" s="245"/>
      <c r="H641" s="245"/>
      <c r="I641" s="245"/>
      <c r="J641" s="246"/>
      <c r="K641" s="101"/>
    </row>
    <row r="642" spans="1:11" ht="12.75">
      <c r="A642" s="264"/>
      <c r="B642" s="264"/>
      <c r="C642" s="264" t="s">
        <v>181</v>
      </c>
      <c r="D642" s="245"/>
      <c r="E642" s="245"/>
      <c r="F642" s="245"/>
      <c r="G642" s="245"/>
      <c r="H642" s="245"/>
      <c r="I642" s="245"/>
      <c r="J642" s="246"/>
      <c r="K642" s="101"/>
    </row>
    <row r="643" spans="1:11" ht="12.75">
      <c r="A643" s="264"/>
      <c r="B643" s="264"/>
      <c r="C643" s="264" t="s">
        <v>182</v>
      </c>
      <c r="D643" s="245">
        <f>D644+D645+D646+D647</f>
        <v>1549073.47</v>
      </c>
      <c r="E643" s="245">
        <f>E644+E645+E646+E647</f>
        <v>1355641.14</v>
      </c>
      <c r="F643" s="245">
        <f>F644+F645+F646+F647</f>
        <v>0</v>
      </c>
      <c r="G643" s="245">
        <f>G644+G645+G646+G647</f>
        <v>193432.33000000002</v>
      </c>
      <c r="H643" s="245">
        <f>H644+H645+H646+H647</f>
        <v>0</v>
      </c>
      <c r="I643" s="245"/>
      <c r="J643" s="246">
        <v>11156000</v>
      </c>
      <c r="K643" s="93"/>
    </row>
    <row r="644" spans="1:11" ht="12.75">
      <c r="A644" s="244">
        <v>4267111</v>
      </c>
      <c r="B644" s="244"/>
      <c r="C644" s="244" t="s">
        <v>70</v>
      </c>
      <c r="D644" s="245">
        <v>140007</v>
      </c>
      <c r="E644" s="245">
        <v>140007</v>
      </c>
      <c r="F644" s="245"/>
      <c r="G644" s="245"/>
      <c r="H644" s="245"/>
      <c r="I644" s="245"/>
      <c r="J644" s="246"/>
      <c r="K644" s="101"/>
    </row>
    <row r="645" spans="1:11" ht="12.75">
      <c r="A645" s="244">
        <v>4267112</v>
      </c>
      <c r="B645" s="244"/>
      <c r="C645" s="244" t="s">
        <v>71</v>
      </c>
      <c r="D645" s="245">
        <v>436301.89</v>
      </c>
      <c r="E645" s="245">
        <v>383439.07</v>
      </c>
      <c r="F645" s="245"/>
      <c r="G645" s="245">
        <v>52862.82</v>
      </c>
      <c r="H645" s="245"/>
      <c r="I645" s="245"/>
      <c r="J645" s="246"/>
      <c r="K645" s="101"/>
    </row>
    <row r="646" spans="1:11" ht="12.75">
      <c r="A646" s="244">
        <v>4267113</v>
      </c>
      <c r="B646" s="244"/>
      <c r="C646" s="244" t="s">
        <v>72</v>
      </c>
      <c r="D646" s="245">
        <v>140569.51</v>
      </c>
      <c r="E646" s="245"/>
      <c r="F646" s="245"/>
      <c r="G646" s="245">
        <v>140569.51</v>
      </c>
      <c r="H646" s="245"/>
      <c r="I646" s="245"/>
      <c r="J646" s="246"/>
      <c r="K646" s="101"/>
    </row>
    <row r="647" spans="1:11" ht="12.75">
      <c r="A647" s="244">
        <v>426721</v>
      </c>
      <c r="B647" s="244"/>
      <c r="C647" s="244" t="s">
        <v>73</v>
      </c>
      <c r="D647" s="245">
        <v>832195.07</v>
      </c>
      <c r="E647" s="245">
        <v>832195.07</v>
      </c>
      <c r="F647" s="245"/>
      <c r="G647" s="245"/>
      <c r="H647" s="245"/>
      <c r="I647" s="245"/>
      <c r="J647" s="246"/>
      <c r="K647" s="101"/>
    </row>
    <row r="648" spans="1:11" ht="12.75">
      <c r="A648" s="244"/>
      <c r="B648" s="244"/>
      <c r="C648" s="264" t="s">
        <v>183</v>
      </c>
      <c r="D648" s="245">
        <f>D649+D650</f>
        <v>1520929.8900000001</v>
      </c>
      <c r="E648" s="245">
        <f>E649+E650</f>
        <v>1520929.8900000001</v>
      </c>
      <c r="F648" s="245">
        <f>F649+F650</f>
        <v>0</v>
      </c>
      <c r="G648" s="245">
        <f>G649+G650</f>
        <v>0</v>
      </c>
      <c r="H648" s="245"/>
      <c r="I648" s="245"/>
      <c r="J648" s="246">
        <v>14155000</v>
      </c>
      <c r="K648" s="105"/>
    </row>
    <row r="649" spans="1:11" ht="12.75">
      <c r="A649" s="244">
        <v>4267510</v>
      </c>
      <c r="B649" s="244"/>
      <c r="C649" s="244" t="s">
        <v>75</v>
      </c>
      <c r="D649" s="245">
        <v>1143661.06</v>
      </c>
      <c r="E649" s="245">
        <v>1143661.06</v>
      </c>
      <c r="F649" s="245"/>
      <c r="G649" s="245"/>
      <c r="H649" s="245"/>
      <c r="I649" s="245"/>
      <c r="J649" s="246"/>
      <c r="K649" s="101"/>
    </row>
    <row r="650" spans="1:11" ht="13.5" thickBot="1">
      <c r="A650" s="244">
        <v>4267511</v>
      </c>
      <c r="B650" s="244"/>
      <c r="C650" s="244" t="s">
        <v>74</v>
      </c>
      <c r="D650" s="245">
        <v>377268.83</v>
      </c>
      <c r="E650" s="245">
        <v>377268.83</v>
      </c>
      <c r="F650" s="245"/>
      <c r="G650" s="245"/>
      <c r="H650" s="245"/>
      <c r="I650" s="245"/>
      <c r="J650" s="246"/>
      <c r="K650" s="101"/>
    </row>
    <row r="651" spans="1:11" ht="13.5" thickBot="1">
      <c r="A651" s="244"/>
      <c r="B651" s="254"/>
      <c r="C651" s="314" t="s">
        <v>134</v>
      </c>
      <c r="D651" s="315">
        <f aca="true" t="shared" si="13" ref="D651:I651">D648+D643+D636+D542+D537+D534+D541</f>
        <v>105970369.99000001</v>
      </c>
      <c r="E651" s="315">
        <f t="shared" si="13"/>
        <v>97678691.37</v>
      </c>
      <c r="F651" s="315">
        <f t="shared" si="13"/>
        <v>1633750.0000000002</v>
      </c>
      <c r="G651" s="315">
        <f t="shared" si="13"/>
        <v>4973233.119999999</v>
      </c>
      <c r="H651" s="315">
        <f t="shared" si="13"/>
        <v>244901.87000000002</v>
      </c>
      <c r="I651" s="315">
        <f t="shared" si="13"/>
        <v>1439793.63</v>
      </c>
      <c r="J651" s="315">
        <f>J648+J643+J636+J542+J537+J534</f>
        <v>279136725</v>
      </c>
      <c r="K651" s="48">
        <f>D651*100/J651</f>
        <v>37.96360725733957</v>
      </c>
    </row>
    <row r="652" spans="1:11" ht="12.75">
      <c r="A652" s="254"/>
      <c r="B652" s="254"/>
      <c r="C652" s="251" t="s">
        <v>184</v>
      </c>
      <c r="D652" s="252">
        <v>105970369.99</v>
      </c>
      <c r="E652" s="252">
        <v>97678691.37</v>
      </c>
      <c r="F652" s="252">
        <v>1633750</v>
      </c>
      <c r="G652" s="252">
        <v>4973233.12</v>
      </c>
      <c r="H652" s="252">
        <v>244901.87</v>
      </c>
      <c r="I652" s="252">
        <v>1439793.63</v>
      </c>
      <c r="J652" s="253"/>
      <c r="K652" s="92"/>
    </row>
    <row r="653" spans="1:11" ht="12.75">
      <c r="A653" s="254"/>
      <c r="B653" s="254"/>
      <c r="C653" s="251" t="s">
        <v>185</v>
      </c>
      <c r="D653" s="252">
        <f aca="true" t="shared" si="14" ref="D653:I653">D651-D652</f>
        <v>0</v>
      </c>
      <c r="E653" s="252">
        <f t="shared" si="14"/>
        <v>0</v>
      </c>
      <c r="F653" s="252">
        <f t="shared" si="14"/>
        <v>0</v>
      </c>
      <c r="G653" s="252">
        <f t="shared" si="14"/>
        <v>0</v>
      </c>
      <c r="H653" s="252">
        <f t="shared" si="14"/>
        <v>0</v>
      </c>
      <c r="I653" s="252">
        <f t="shared" si="14"/>
        <v>0</v>
      </c>
      <c r="J653" s="252"/>
      <c r="K653" s="92"/>
    </row>
    <row r="654" spans="1:11" ht="12.75">
      <c r="A654" s="254"/>
      <c r="B654" s="254"/>
      <c r="C654" s="251"/>
      <c r="D654" s="252"/>
      <c r="E654" s="252"/>
      <c r="F654" s="252"/>
      <c r="G654" s="252"/>
      <c r="H654" s="252"/>
      <c r="I654" s="252"/>
      <c r="J654" s="253"/>
      <c r="K654" s="92"/>
    </row>
    <row r="655" spans="1:11" ht="12.75">
      <c r="A655" s="254"/>
      <c r="B655" s="254"/>
      <c r="C655" s="254"/>
      <c r="D655" s="236" t="s">
        <v>136</v>
      </c>
      <c r="E655" s="236"/>
      <c r="F655" s="236"/>
      <c r="G655" s="236"/>
      <c r="H655" s="262"/>
      <c r="I655" s="262"/>
      <c r="J655" s="280"/>
      <c r="K655" s="85"/>
    </row>
    <row r="656" spans="1:11" ht="13.5" thickBot="1">
      <c r="A656" s="254"/>
      <c r="B656" s="254"/>
      <c r="C656" s="254"/>
      <c r="D656" s="262"/>
      <c r="E656" s="262"/>
      <c r="F656" s="262"/>
      <c r="G656" s="262"/>
      <c r="H656" s="262"/>
      <c r="I656" s="262"/>
      <c r="J656" s="280"/>
      <c r="K656" s="85" t="s">
        <v>173</v>
      </c>
    </row>
    <row r="657" spans="1:11" ht="34.5" thickBot="1">
      <c r="A657" s="306" t="s">
        <v>0</v>
      </c>
      <c r="B657" s="239" t="s">
        <v>208</v>
      </c>
      <c r="C657" s="303" t="s">
        <v>1</v>
      </c>
      <c r="D657" s="303" t="s">
        <v>2</v>
      </c>
      <c r="E657" s="303" t="s">
        <v>3</v>
      </c>
      <c r="F657" s="304" t="s">
        <v>4</v>
      </c>
      <c r="G657" s="305" t="s">
        <v>5</v>
      </c>
      <c r="H657" s="316" t="s">
        <v>6</v>
      </c>
      <c r="I657" s="306" t="s">
        <v>7</v>
      </c>
      <c r="J657" s="309" t="s">
        <v>175</v>
      </c>
      <c r="K657" s="86" t="s">
        <v>170</v>
      </c>
    </row>
    <row r="658" spans="1:11" ht="12.75">
      <c r="A658" s="299">
        <v>512111</v>
      </c>
      <c r="B658" s="299"/>
      <c r="C658" s="300" t="s">
        <v>124</v>
      </c>
      <c r="D658" s="317">
        <v>1376602.5</v>
      </c>
      <c r="E658" s="276"/>
      <c r="F658" s="248"/>
      <c r="G658" s="293">
        <v>1376602.5</v>
      </c>
      <c r="H658" s="318"/>
      <c r="I658" s="271"/>
      <c r="J658" s="242"/>
      <c r="K658" s="83"/>
    </row>
    <row r="659" spans="1:11" ht="12.75">
      <c r="A659" s="273">
        <v>5121</v>
      </c>
      <c r="B659" s="273"/>
      <c r="C659" s="274" t="s">
        <v>125</v>
      </c>
      <c r="D659" s="275">
        <f>SUM(D658)</f>
        <v>1376602.5</v>
      </c>
      <c r="E659" s="276"/>
      <c r="F659" s="248"/>
      <c r="G659" s="294">
        <f>SUM(G658)</f>
        <v>1376602.5</v>
      </c>
      <c r="H659" s="319"/>
      <c r="I659" s="276"/>
      <c r="J659" s="246"/>
      <c r="K659" s="84"/>
    </row>
    <row r="660" spans="1:11" ht="12.75">
      <c r="A660" s="244">
        <v>512211</v>
      </c>
      <c r="B660" s="244"/>
      <c r="C660" s="244" t="s">
        <v>120</v>
      </c>
      <c r="D660" s="245">
        <v>15930</v>
      </c>
      <c r="E660" s="245"/>
      <c r="F660" s="245"/>
      <c r="G660" s="293">
        <v>15930</v>
      </c>
      <c r="H660" s="293"/>
      <c r="I660" s="245"/>
      <c r="J660" s="246"/>
      <c r="K660" s="84"/>
    </row>
    <row r="661" spans="1:11" ht="12.75">
      <c r="A661" s="244">
        <v>512221</v>
      </c>
      <c r="B661" s="244"/>
      <c r="C661" s="244" t="s">
        <v>56</v>
      </c>
      <c r="D661" s="245">
        <v>0</v>
      </c>
      <c r="E661" s="245"/>
      <c r="F661" s="245"/>
      <c r="G661" s="293"/>
      <c r="H661" s="293"/>
      <c r="I661" s="245"/>
      <c r="J661" s="246"/>
      <c r="K661" s="84"/>
    </row>
    <row r="662" spans="1:11" ht="12.75">
      <c r="A662" s="259">
        <v>512222</v>
      </c>
      <c r="B662" s="259"/>
      <c r="C662" s="259" t="s">
        <v>121</v>
      </c>
      <c r="D662" s="260">
        <v>0</v>
      </c>
      <c r="E662" s="260"/>
      <c r="F662" s="260"/>
      <c r="G662" s="298"/>
      <c r="H662" s="293"/>
      <c r="I662" s="245"/>
      <c r="J662" s="246"/>
      <c r="K662" s="84"/>
    </row>
    <row r="663" spans="1:11" ht="12.75">
      <c r="A663" s="244">
        <v>512251</v>
      </c>
      <c r="B663" s="244"/>
      <c r="C663" s="244" t="s">
        <v>122</v>
      </c>
      <c r="D663" s="245">
        <v>0</v>
      </c>
      <c r="E663" s="245"/>
      <c r="F663" s="245"/>
      <c r="G663" s="293"/>
      <c r="H663" s="293"/>
      <c r="I663" s="245"/>
      <c r="J663" s="246"/>
      <c r="K663" s="84"/>
    </row>
    <row r="664" spans="1:11" ht="12.75">
      <c r="A664" s="247">
        <v>5122</v>
      </c>
      <c r="B664" s="247"/>
      <c r="C664" s="247" t="s">
        <v>123</v>
      </c>
      <c r="D664" s="248">
        <f>SUM(D660:D663)</f>
        <v>15930</v>
      </c>
      <c r="E664" s="248"/>
      <c r="F664" s="248"/>
      <c r="G664" s="294">
        <f>SUM(G660:G663)</f>
        <v>15930</v>
      </c>
      <c r="H664" s="294"/>
      <c r="I664" s="248"/>
      <c r="J664" s="246"/>
      <c r="K664" s="84"/>
    </row>
    <row r="665" spans="1:11" ht="12.75">
      <c r="A665" s="241">
        <v>512511</v>
      </c>
      <c r="B665" s="241"/>
      <c r="C665" s="241" t="s">
        <v>126</v>
      </c>
      <c r="D665" s="243"/>
      <c r="E665" s="243"/>
      <c r="F665" s="243"/>
      <c r="G665" s="297"/>
      <c r="H665" s="293"/>
      <c r="I665" s="245"/>
      <c r="J665" s="246"/>
      <c r="K665" s="84"/>
    </row>
    <row r="666" spans="1:11" ht="12.75">
      <c r="A666" s="244">
        <v>512521</v>
      </c>
      <c r="B666" s="244"/>
      <c r="C666" s="244" t="s">
        <v>127</v>
      </c>
      <c r="D666" s="245"/>
      <c r="E666" s="245"/>
      <c r="F666" s="245"/>
      <c r="G666" s="293"/>
      <c r="H666" s="293"/>
      <c r="I666" s="245"/>
      <c r="J666" s="246"/>
      <c r="K666" s="84"/>
    </row>
    <row r="667" spans="1:11" ht="13.5" thickBot="1">
      <c r="A667" s="247">
        <v>5125</v>
      </c>
      <c r="B667" s="307"/>
      <c r="C667" s="307" t="s">
        <v>128</v>
      </c>
      <c r="D667" s="308"/>
      <c r="E667" s="308"/>
      <c r="F667" s="308"/>
      <c r="G667" s="320"/>
      <c r="H667" s="320"/>
      <c r="I667" s="308"/>
      <c r="J667" s="312"/>
      <c r="K667" s="87"/>
    </row>
    <row r="668" spans="1:11" ht="13.5" thickBot="1">
      <c r="A668" s="251"/>
      <c r="B668" s="251"/>
      <c r="C668" s="314" t="s">
        <v>135</v>
      </c>
      <c r="D668" s="315">
        <f>SUM(D664,D659)</f>
        <v>1392532.5</v>
      </c>
      <c r="E668" s="321"/>
      <c r="F668" s="322"/>
      <c r="G668" s="323">
        <f>G664+G659</f>
        <v>1392532.5</v>
      </c>
      <c r="H668" s="324"/>
      <c r="I668" s="325"/>
      <c r="J668" s="326"/>
      <c r="K668" s="88"/>
    </row>
    <row r="669" spans="1:11" ht="13.5" thickBot="1">
      <c r="A669" s="244"/>
      <c r="B669" s="327"/>
      <c r="C669" s="327"/>
      <c r="D669" s="328"/>
      <c r="E669" s="328"/>
      <c r="F669" s="328"/>
      <c r="G669" s="328"/>
      <c r="H669" s="328"/>
      <c r="I669" s="262"/>
      <c r="J669" s="329"/>
      <c r="K669" s="89"/>
    </row>
    <row r="670" spans="1:11" ht="13.5" thickBot="1">
      <c r="A670" s="330"/>
      <c r="B670" s="254"/>
      <c r="C670" s="331" t="s">
        <v>167</v>
      </c>
      <c r="D670" s="325">
        <f aca="true" t="shared" si="15" ref="D670:I670">D651+D668</f>
        <v>107362902.49000001</v>
      </c>
      <c r="E670" s="325">
        <f t="shared" si="15"/>
        <v>97678691.37</v>
      </c>
      <c r="F670" s="325">
        <f t="shared" si="15"/>
        <v>1633750.0000000002</v>
      </c>
      <c r="G670" s="325">
        <f t="shared" si="15"/>
        <v>6365765.619999999</v>
      </c>
      <c r="H670" s="325">
        <f t="shared" si="15"/>
        <v>244901.87000000002</v>
      </c>
      <c r="I670" s="325">
        <f t="shared" si="15"/>
        <v>1439793.63</v>
      </c>
      <c r="J670" s="326"/>
      <c r="K670" s="88"/>
    </row>
    <row r="671" spans="1:10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</row>
    <row r="672" spans="1:10" ht="12.75">
      <c r="A672" s="237"/>
      <c r="B672" s="237"/>
      <c r="C672" s="237"/>
      <c r="D672" s="237"/>
      <c r="E672" s="244" t="s">
        <v>5</v>
      </c>
      <c r="F672" s="244" t="s">
        <v>176</v>
      </c>
      <c r="G672" s="246">
        <v>29357000</v>
      </c>
      <c r="H672" s="237"/>
      <c r="I672" s="237"/>
      <c r="J672" s="237"/>
    </row>
    <row r="673" spans="1:10" ht="12.75">
      <c r="A673" s="237"/>
      <c r="B673" s="237"/>
      <c r="C673" s="237"/>
      <c r="D673" s="237"/>
      <c r="E673" s="244"/>
      <c r="F673" s="244" t="s">
        <v>177</v>
      </c>
      <c r="G673" s="246">
        <f>G670*100/G672</f>
        <v>21.683978676295258</v>
      </c>
      <c r="H673" s="237"/>
      <c r="I673" s="237"/>
      <c r="J673" s="237"/>
    </row>
    <row r="674" spans="1:10" ht="12.75">
      <c r="A674" s="237"/>
      <c r="B674" s="237"/>
      <c r="C674" s="237"/>
      <c r="D674" s="237"/>
      <c r="E674" s="254"/>
      <c r="F674" s="254"/>
      <c r="G674" s="253"/>
      <c r="H674" s="237"/>
      <c r="I674" s="237"/>
      <c r="J674" s="237"/>
    </row>
    <row r="675" spans="1:10" ht="12.75">
      <c r="A675" s="237"/>
      <c r="B675" s="237"/>
      <c r="C675" s="237"/>
      <c r="D675" s="237"/>
      <c r="E675" s="254"/>
      <c r="F675" s="254"/>
      <c r="G675" s="253"/>
      <c r="H675" s="237"/>
      <c r="I675" s="237"/>
      <c r="J675" s="237"/>
    </row>
    <row r="676" spans="1:10" ht="12.75">
      <c r="A676" s="237"/>
      <c r="B676" s="237"/>
      <c r="C676" s="237"/>
      <c r="D676" s="237"/>
      <c r="E676" s="254"/>
      <c r="F676" s="254"/>
      <c r="G676" s="253"/>
      <c r="H676" s="237"/>
      <c r="I676" s="237"/>
      <c r="J676" s="237"/>
    </row>
    <row r="677" spans="1:10" ht="12.75">
      <c r="A677" s="237"/>
      <c r="B677" s="237"/>
      <c r="C677" s="237"/>
      <c r="D677" s="237"/>
      <c r="E677" s="254"/>
      <c r="F677" s="254"/>
      <c r="G677" s="253"/>
      <c r="H677" s="237"/>
      <c r="I677" s="237"/>
      <c r="J677" s="237"/>
    </row>
    <row r="678" spans="1:11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145"/>
    </row>
    <row r="679" spans="1:11" ht="12.75">
      <c r="A679" s="238" t="s">
        <v>203</v>
      </c>
      <c r="B679" s="238"/>
      <c r="C679" s="238"/>
      <c r="D679" s="285"/>
      <c r="E679" s="287"/>
      <c r="F679" s="280"/>
      <c r="G679" s="237"/>
      <c r="H679" s="237"/>
      <c r="I679" s="237"/>
      <c r="J679" s="238" t="s">
        <v>220</v>
      </c>
      <c r="K679" s="145"/>
    </row>
    <row r="680" spans="1:11" ht="12.75">
      <c r="A680" s="254"/>
      <c r="B680" s="254"/>
      <c r="C680" s="285" t="s">
        <v>204</v>
      </c>
      <c r="D680" s="262"/>
      <c r="E680" s="262"/>
      <c r="F680" s="262"/>
      <c r="G680" s="262"/>
      <c r="H680" s="262"/>
      <c r="I680" s="262"/>
      <c r="J680" s="237"/>
      <c r="K680" s="145"/>
    </row>
    <row r="681" spans="1:11" ht="33.75">
      <c r="A681" s="239" t="s">
        <v>0</v>
      </c>
      <c r="B681" s="239" t="s">
        <v>208</v>
      </c>
      <c r="C681" s="239" t="s">
        <v>1</v>
      </c>
      <c r="D681" s="239" t="s">
        <v>2</v>
      </c>
      <c r="E681" s="239" t="s">
        <v>3</v>
      </c>
      <c r="F681" s="240" t="s">
        <v>4</v>
      </c>
      <c r="G681" s="239" t="s">
        <v>5</v>
      </c>
      <c r="H681" s="239" t="s">
        <v>6</v>
      </c>
      <c r="I681" s="239" t="s">
        <v>7</v>
      </c>
      <c r="J681" s="239" t="s">
        <v>175</v>
      </c>
      <c r="K681" s="152" t="s">
        <v>170</v>
      </c>
    </row>
    <row r="682" spans="1:11" ht="12.75">
      <c r="A682" s="244">
        <v>74212101</v>
      </c>
      <c r="B682" s="246">
        <f>D682*100/122908188.27</f>
        <v>0.34437900839460484</v>
      </c>
      <c r="C682" s="244" t="s">
        <v>140</v>
      </c>
      <c r="D682" s="245">
        <v>423270</v>
      </c>
      <c r="E682" s="245"/>
      <c r="F682" s="245"/>
      <c r="G682" s="245">
        <v>423270</v>
      </c>
      <c r="H682" s="245"/>
      <c r="I682" s="245"/>
      <c r="J682" s="246"/>
      <c r="K682" s="101"/>
    </row>
    <row r="683" spans="1:11" ht="12.75">
      <c r="A683" s="244">
        <v>74212102</v>
      </c>
      <c r="B683" s="246">
        <f aca="true" t="shared" si="16" ref="B683:B711">D683*100/122908188.27</f>
        <v>2.853436845310681</v>
      </c>
      <c r="C683" s="244" t="s">
        <v>142</v>
      </c>
      <c r="D683" s="245">
        <v>3507107.53</v>
      </c>
      <c r="E683" s="245"/>
      <c r="F683" s="245"/>
      <c r="G683" s="245">
        <v>3507107.53</v>
      </c>
      <c r="H683" s="245"/>
      <c r="I683" s="245"/>
      <c r="J683" s="246"/>
      <c r="K683" s="101"/>
    </row>
    <row r="684" spans="1:11" ht="12.75">
      <c r="A684" s="244">
        <v>74212103</v>
      </c>
      <c r="B684" s="246">
        <f t="shared" si="16"/>
        <v>0.873798576902577</v>
      </c>
      <c r="C684" s="244" t="s">
        <v>139</v>
      </c>
      <c r="D684" s="245">
        <v>1073970</v>
      </c>
      <c r="E684" s="245"/>
      <c r="F684" s="245"/>
      <c r="G684" s="245">
        <v>1073970</v>
      </c>
      <c r="H684" s="245"/>
      <c r="I684" s="245"/>
      <c r="J684" s="249">
        <v>4620000</v>
      </c>
      <c r="K684" s="106">
        <f>(G684+G687+D690)*100/J684</f>
        <v>34.144344805194805</v>
      </c>
    </row>
    <row r="685" spans="1:11" ht="12.75">
      <c r="A685" s="244">
        <v>74212111</v>
      </c>
      <c r="B685" s="246">
        <f t="shared" si="16"/>
        <v>0.09216387581204723</v>
      </c>
      <c r="C685" s="244" t="s">
        <v>141</v>
      </c>
      <c r="D685" s="245">
        <v>113276.95</v>
      </c>
      <c r="E685" s="245"/>
      <c r="F685" s="245"/>
      <c r="G685" s="245">
        <v>113276.95</v>
      </c>
      <c r="H685" s="245"/>
      <c r="I685" s="245"/>
      <c r="J685" s="246"/>
      <c r="K685" s="101"/>
    </row>
    <row r="686" spans="1:11" ht="12.75">
      <c r="A686" s="244">
        <v>74212112</v>
      </c>
      <c r="B686" s="246">
        <f t="shared" si="16"/>
        <v>0.09574956856533934</v>
      </c>
      <c r="C686" s="244" t="s">
        <v>143</v>
      </c>
      <c r="D686" s="245">
        <v>117684.06</v>
      </c>
      <c r="E686" s="245"/>
      <c r="F686" s="245"/>
      <c r="G686" s="245">
        <v>117684.06</v>
      </c>
      <c r="H686" s="245"/>
      <c r="I686" s="293"/>
      <c r="J686" s="246"/>
      <c r="K686" s="101"/>
    </row>
    <row r="687" spans="1:11" ht="12.75">
      <c r="A687" s="244">
        <v>74212113</v>
      </c>
      <c r="B687" s="246">
        <f t="shared" si="16"/>
        <v>0.0907181218512969</v>
      </c>
      <c r="C687" s="244" t="s">
        <v>144</v>
      </c>
      <c r="D687" s="245">
        <v>111500</v>
      </c>
      <c r="E687" s="245"/>
      <c r="F687" s="245"/>
      <c r="G687" s="245">
        <v>111500</v>
      </c>
      <c r="H687" s="245"/>
      <c r="I687" s="293"/>
      <c r="J687" s="246"/>
      <c r="K687" s="101"/>
    </row>
    <row r="688" spans="1:11" ht="12.75">
      <c r="A688" s="244">
        <v>7421216</v>
      </c>
      <c r="B688" s="246">
        <f t="shared" si="16"/>
        <v>0.12956430506499406</v>
      </c>
      <c r="C688" s="244" t="s">
        <v>145</v>
      </c>
      <c r="D688" s="245">
        <v>159245.14</v>
      </c>
      <c r="E688" s="245"/>
      <c r="F688" s="245"/>
      <c r="G688" s="245"/>
      <c r="H688" s="245">
        <v>159245.14</v>
      </c>
      <c r="I688" s="293"/>
      <c r="J688" s="246"/>
      <c r="K688" s="101"/>
    </row>
    <row r="689" spans="1:11" ht="12.75">
      <c r="A689" s="244">
        <v>7421217</v>
      </c>
      <c r="B689" s="246">
        <f t="shared" si="16"/>
        <v>7.999581889858411</v>
      </c>
      <c r="C689" s="244" t="s">
        <v>146</v>
      </c>
      <c r="D689" s="245">
        <v>9832141.17</v>
      </c>
      <c r="E689" s="245"/>
      <c r="F689" s="245"/>
      <c r="G689" s="245">
        <v>9832141.17</v>
      </c>
      <c r="H689" s="245"/>
      <c r="I689" s="293"/>
      <c r="J689" s="246"/>
      <c r="K689" s="101"/>
    </row>
    <row r="690" spans="1:11" ht="12.75">
      <c r="A690" s="244">
        <v>74212171</v>
      </c>
      <c r="B690" s="246">
        <f t="shared" si="16"/>
        <v>0.31893622021249896</v>
      </c>
      <c r="C690" s="244" t="s">
        <v>147</v>
      </c>
      <c r="D690" s="245">
        <v>391998.73</v>
      </c>
      <c r="E690" s="245"/>
      <c r="F690" s="245"/>
      <c r="G690" s="245">
        <v>391998.73</v>
      </c>
      <c r="H690" s="245"/>
      <c r="I690" s="293"/>
      <c r="J690" s="249"/>
      <c r="K690" s="101"/>
    </row>
    <row r="691" spans="1:11" ht="12.75">
      <c r="A691" s="244">
        <v>742161</v>
      </c>
      <c r="B691" s="246">
        <f t="shared" si="16"/>
        <v>0.06305137280989066</v>
      </c>
      <c r="C691" s="244" t="s">
        <v>148</v>
      </c>
      <c r="D691" s="245">
        <v>77495.3</v>
      </c>
      <c r="E691" s="245"/>
      <c r="F691" s="245"/>
      <c r="G691" s="245">
        <v>77495.3</v>
      </c>
      <c r="H691" s="245"/>
      <c r="I691" s="293"/>
      <c r="J691" s="246"/>
      <c r="K691" s="101"/>
    </row>
    <row r="692" spans="1:11" ht="12.75">
      <c r="A692" s="247">
        <v>7421</v>
      </c>
      <c r="B692" s="249">
        <f t="shared" si="16"/>
        <v>12.861379784782342</v>
      </c>
      <c r="C692" s="247" t="s">
        <v>149</v>
      </c>
      <c r="D692" s="248">
        <f>SUM(D682:D691)</f>
        <v>15807688.879999999</v>
      </c>
      <c r="E692" s="245"/>
      <c r="F692" s="245"/>
      <c r="G692" s="248">
        <f>SUM(G682:G691)</f>
        <v>15648443.74</v>
      </c>
      <c r="H692" s="248">
        <f>SUM(H688:H691)</f>
        <v>159245.14</v>
      </c>
      <c r="I692" s="293"/>
      <c r="J692" s="249">
        <v>23920000</v>
      </c>
      <c r="K692" s="106">
        <f>(D692-D684-D687-D690)*100/J692</f>
        <v>59.49088691471571</v>
      </c>
    </row>
    <row r="693" spans="1:11" ht="12.75">
      <c r="A693" s="244">
        <v>7451611</v>
      </c>
      <c r="B693" s="246">
        <f t="shared" si="16"/>
        <v>0.00482652952866604</v>
      </c>
      <c r="C693" s="244" t="s">
        <v>150</v>
      </c>
      <c r="D693" s="245">
        <v>5932.2</v>
      </c>
      <c r="E693" s="245"/>
      <c r="F693" s="245"/>
      <c r="G693" s="245">
        <v>5932.2</v>
      </c>
      <c r="H693" s="248"/>
      <c r="I693" s="293"/>
      <c r="J693" s="246"/>
      <c r="K693" s="101"/>
    </row>
    <row r="694" spans="1:11" ht="12.75">
      <c r="A694" s="247">
        <v>7451</v>
      </c>
      <c r="B694" s="249">
        <f t="shared" si="16"/>
        <v>0.00482652952866604</v>
      </c>
      <c r="C694" s="247" t="s">
        <v>151</v>
      </c>
      <c r="D694" s="248">
        <f>SUM(D693)</f>
        <v>5932.2</v>
      </c>
      <c r="E694" s="248"/>
      <c r="F694" s="248"/>
      <c r="G694" s="248">
        <f>SUM(G693)</f>
        <v>5932.2</v>
      </c>
      <c r="H694" s="245"/>
      <c r="I694" s="293"/>
      <c r="J694" s="246"/>
      <c r="K694" s="101"/>
    </row>
    <row r="695" spans="1:11" ht="12.75">
      <c r="A695" s="244">
        <v>7711111</v>
      </c>
      <c r="B695" s="246">
        <f t="shared" si="16"/>
        <v>1.0150538524409412</v>
      </c>
      <c r="C695" s="244" t="s">
        <v>152</v>
      </c>
      <c r="D695" s="245">
        <v>1247584.3</v>
      </c>
      <c r="E695" s="245"/>
      <c r="F695" s="245"/>
      <c r="G695" s="245"/>
      <c r="H695" s="245"/>
      <c r="I695" s="293">
        <v>1247584.3</v>
      </c>
      <c r="J695" s="246"/>
      <c r="K695" s="101"/>
    </row>
    <row r="696" spans="1:11" ht="12.75">
      <c r="A696" s="244">
        <v>7711112</v>
      </c>
      <c r="B696" s="246">
        <f t="shared" si="16"/>
        <v>0.11992203454843099</v>
      </c>
      <c r="C696" s="244" t="s">
        <v>153</v>
      </c>
      <c r="D696" s="245">
        <v>147394</v>
      </c>
      <c r="E696" s="245">
        <v>147394</v>
      </c>
      <c r="F696" s="245"/>
      <c r="G696" s="245"/>
      <c r="H696" s="245"/>
      <c r="I696" s="245"/>
      <c r="J696" s="246"/>
      <c r="K696" s="101"/>
    </row>
    <row r="697" spans="1:11" ht="12.75">
      <c r="A697" s="247">
        <v>7711</v>
      </c>
      <c r="B697" s="249">
        <f t="shared" si="16"/>
        <v>1.1349758869893722</v>
      </c>
      <c r="C697" s="247" t="s">
        <v>154</v>
      </c>
      <c r="D697" s="248">
        <f>SUM(D695:D696)</f>
        <v>1394978.3</v>
      </c>
      <c r="E697" s="248">
        <f>SUM(E695:E696)</f>
        <v>147394</v>
      </c>
      <c r="F697" s="248"/>
      <c r="G697" s="248"/>
      <c r="H697" s="248"/>
      <c r="I697" s="294">
        <f>SUM(I695:I696)</f>
        <v>1247584.3</v>
      </c>
      <c r="J697" s="246"/>
      <c r="K697" s="101"/>
    </row>
    <row r="698" spans="1:11" ht="12.75">
      <c r="A698" s="332">
        <v>7811110101</v>
      </c>
      <c r="B698" s="246">
        <f t="shared" si="16"/>
        <v>64.84753217166596</v>
      </c>
      <c r="C698" s="244" t="s">
        <v>155</v>
      </c>
      <c r="D698" s="245">
        <v>79702926.93</v>
      </c>
      <c r="E698" s="245">
        <v>79702926.93</v>
      </c>
      <c r="F698" s="245"/>
      <c r="G698" s="245"/>
      <c r="H698" s="245"/>
      <c r="I698" s="293"/>
      <c r="J698" s="258">
        <v>187186000</v>
      </c>
      <c r="K698" s="101">
        <f>D698*100/J698</f>
        <v>42.57953422264486</v>
      </c>
    </row>
    <row r="699" spans="1:11" ht="12.75">
      <c r="A699" s="332">
        <v>7811110102</v>
      </c>
      <c r="B699" s="246">
        <f t="shared" si="16"/>
        <v>2.183201434964899</v>
      </c>
      <c r="C699" s="244" t="s">
        <v>156</v>
      </c>
      <c r="D699" s="245">
        <v>2683333.33</v>
      </c>
      <c r="E699" s="245">
        <v>2683333.33</v>
      </c>
      <c r="F699" s="245"/>
      <c r="G699" s="245"/>
      <c r="H699" s="245"/>
      <c r="I699" s="293"/>
      <c r="J699" s="258">
        <v>4025000</v>
      </c>
      <c r="K699" s="101">
        <f aca="true" t="shared" si="17" ref="K699:K709">D699*100/J699</f>
        <v>66.66666658385093</v>
      </c>
    </row>
    <row r="700" spans="1:11" ht="12.75">
      <c r="A700" s="332">
        <v>7811110103</v>
      </c>
      <c r="B700" s="246">
        <f t="shared" si="16"/>
        <v>3.723104257258775</v>
      </c>
      <c r="C700" s="244" t="s">
        <v>157</v>
      </c>
      <c r="D700" s="245">
        <v>4575999.99</v>
      </c>
      <c r="E700" s="245">
        <v>4575999.99</v>
      </c>
      <c r="F700" s="245"/>
      <c r="G700" s="245"/>
      <c r="H700" s="245"/>
      <c r="I700" s="293"/>
      <c r="J700" s="258">
        <v>14025000</v>
      </c>
      <c r="K700" s="101">
        <f t="shared" si="17"/>
        <v>32.62745090909091</v>
      </c>
    </row>
    <row r="701" spans="1:11" ht="12.75">
      <c r="A701" s="332">
        <v>7811110104</v>
      </c>
      <c r="B701" s="246">
        <f t="shared" si="16"/>
        <v>1.9185849479937176</v>
      </c>
      <c r="C701" s="244" t="s">
        <v>158</v>
      </c>
      <c r="D701" s="245">
        <v>2358098</v>
      </c>
      <c r="E701" s="245">
        <v>2358098</v>
      </c>
      <c r="F701" s="245"/>
      <c r="G701" s="245"/>
      <c r="H701" s="245"/>
      <c r="I701" s="293"/>
      <c r="J701" s="258">
        <f>13692000-4915000</f>
        <v>8777000</v>
      </c>
      <c r="K701" s="101">
        <f t="shared" si="17"/>
        <v>26.86678819642247</v>
      </c>
    </row>
    <row r="702" spans="1:11" ht="12.75">
      <c r="A702" s="332">
        <v>7811110105</v>
      </c>
      <c r="B702" s="246">
        <f t="shared" si="16"/>
        <v>1.2133040287959327</v>
      </c>
      <c r="C702" s="244" t="s">
        <v>159</v>
      </c>
      <c r="D702" s="245">
        <v>1491250</v>
      </c>
      <c r="E702" s="245">
        <v>1491250</v>
      </c>
      <c r="F702" s="245"/>
      <c r="G702" s="245"/>
      <c r="H702" s="245"/>
      <c r="I702" s="293"/>
      <c r="J702" s="258">
        <v>5965000</v>
      </c>
      <c r="K702" s="101">
        <f t="shared" si="17"/>
        <v>25</v>
      </c>
    </row>
    <row r="703" spans="1:11" ht="12.75">
      <c r="A703" s="332">
        <v>7811110106</v>
      </c>
      <c r="B703" s="246">
        <f t="shared" si="16"/>
        <v>1.0894310776581753</v>
      </c>
      <c r="C703" s="244" t="s">
        <v>160</v>
      </c>
      <c r="D703" s="245">
        <v>1339000</v>
      </c>
      <c r="E703" s="245">
        <v>1339000</v>
      </c>
      <c r="F703" s="245"/>
      <c r="G703" s="245"/>
      <c r="H703" s="245"/>
      <c r="I703" s="293"/>
      <c r="J703" s="258">
        <v>5356000</v>
      </c>
      <c r="K703" s="101">
        <f t="shared" si="17"/>
        <v>25</v>
      </c>
    </row>
    <row r="704" spans="1:11" ht="12.75">
      <c r="A704" s="332">
        <v>781111013</v>
      </c>
      <c r="B704" s="246">
        <f t="shared" si="16"/>
        <v>9.63882944395467</v>
      </c>
      <c r="C704" s="244" t="s">
        <v>161</v>
      </c>
      <c r="D704" s="245">
        <v>11846910.64</v>
      </c>
      <c r="E704" s="245">
        <v>11846910.64</v>
      </c>
      <c r="F704" s="245"/>
      <c r="G704" s="245"/>
      <c r="H704" s="245"/>
      <c r="I704" s="293"/>
      <c r="J704" s="258">
        <v>28900000</v>
      </c>
      <c r="K704" s="101">
        <f t="shared" si="17"/>
        <v>40.99277038062284</v>
      </c>
    </row>
    <row r="705" spans="1:11" ht="12.75">
      <c r="A705" s="332">
        <v>7811110501</v>
      </c>
      <c r="B705" s="246">
        <f t="shared" si="16"/>
        <v>0.8933253475252777</v>
      </c>
      <c r="C705" s="244" t="s">
        <v>162</v>
      </c>
      <c r="D705" s="245">
        <v>1097970</v>
      </c>
      <c r="E705" s="245"/>
      <c r="F705" s="245">
        <v>1097970</v>
      </c>
      <c r="G705" s="245"/>
      <c r="H705" s="245"/>
      <c r="I705" s="245"/>
      <c r="J705" s="258">
        <v>4915000</v>
      </c>
      <c r="K705" s="101">
        <f>(D705+D707)*100/J705</f>
        <v>33.489318413021365</v>
      </c>
    </row>
    <row r="706" spans="1:11" ht="12.75">
      <c r="A706" s="332">
        <v>7811110502</v>
      </c>
      <c r="B706" s="246">
        <f t="shared" si="16"/>
        <v>0.0453753332345007</v>
      </c>
      <c r="C706" s="244" t="s">
        <v>163</v>
      </c>
      <c r="D706" s="245">
        <v>55770</v>
      </c>
      <c r="E706" s="245"/>
      <c r="F706" s="245">
        <v>55770</v>
      </c>
      <c r="G706" s="245"/>
      <c r="H706" s="245"/>
      <c r="I706" s="245"/>
      <c r="J706" s="258">
        <v>134000</v>
      </c>
      <c r="K706" s="101">
        <f>(D706+D708)*100/J706</f>
        <v>41.843283582089555</v>
      </c>
    </row>
    <row r="707" spans="1:11" ht="12.75">
      <c r="A707" s="332">
        <v>7811110511</v>
      </c>
      <c r="B707" s="246">
        <f t="shared" si="16"/>
        <v>0.44588567101494386</v>
      </c>
      <c r="C707" s="244" t="s">
        <v>164</v>
      </c>
      <c r="D707" s="245">
        <v>548030</v>
      </c>
      <c r="E707" s="245"/>
      <c r="F707" s="245">
        <v>548030</v>
      </c>
      <c r="G707" s="245"/>
      <c r="H707" s="245"/>
      <c r="I707" s="245"/>
      <c r="J707" s="258"/>
      <c r="K707" s="101"/>
    </row>
    <row r="708" spans="1:11" ht="12.75">
      <c r="A708" s="332">
        <v>7811110512</v>
      </c>
      <c r="B708" s="246">
        <f t="shared" si="16"/>
        <v>0.0002440846327837585</v>
      </c>
      <c r="C708" s="244" t="s">
        <v>165</v>
      </c>
      <c r="D708" s="245">
        <v>300</v>
      </c>
      <c r="E708" s="245"/>
      <c r="F708" s="245">
        <v>300</v>
      </c>
      <c r="G708" s="245"/>
      <c r="H708" s="245"/>
      <c r="I708" s="245"/>
      <c r="J708" s="258"/>
      <c r="K708" s="101"/>
    </row>
    <row r="709" spans="1:11" ht="12.75">
      <c r="A709" s="247">
        <v>7811</v>
      </c>
      <c r="B709" s="249">
        <f t="shared" si="16"/>
        <v>85.99881779869962</v>
      </c>
      <c r="C709" s="247" t="s">
        <v>166</v>
      </c>
      <c r="D709" s="248">
        <f>SUM(D698:D708)</f>
        <v>105699588.89</v>
      </c>
      <c r="E709" s="248">
        <f>SUM(E698:E708)</f>
        <v>103997518.89</v>
      </c>
      <c r="F709" s="248">
        <f>SUM(F705:F708)</f>
        <v>1702070</v>
      </c>
      <c r="G709" s="248"/>
      <c r="H709" s="248"/>
      <c r="I709" s="248"/>
      <c r="J709" s="249">
        <f>SUM(J698:J708)</f>
        <v>259283000</v>
      </c>
      <c r="K709" s="106">
        <f t="shared" si="17"/>
        <v>40.76610841821485</v>
      </c>
    </row>
    <row r="710" spans="1:11" ht="12.75">
      <c r="A710" s="254"/>
      <c r="B710" s="246"/>
      <c r="C710" s="254"/>
      <c r="D710" s="262"/>
      <c r="E710" s="262"/>
      <c r="F710" s="262"/>
      <c r="G710" s="262"/>
      <c r="H710" s="262"/>
      <c r="I710" s="262"/>
      <c r="J710" s="253"/>
      <c r="K710" s="122"/>
    </row>
    <row r="711" spans="1:11" ht="12.75">
      <c r="A711" s="254"/>
      <c r="B711" s="249">
        <f t="shared" si="16"/>
        <v>100</v>
      </c>
      <c r="C711" s="247" t="s">
        <v>137</v>
      </c>
      <c r="D711" s="248">
        <f>D709+D697+D694+D692</f>
        <v>122908188.27</v>
      </c>
      <c r="E711" s="248">
        <f>E709+E697</f>
        <v>104144912.89</v>
      </c>
      <c r="F711" s="248">
        <f>F709</f>
        <v>1702070</v>
      </c>
      <c r="G711" s="248">
        <f>G694+G692</f>
        <v>15654375.94</v>
      </c>
      <c r="H711" s="248">
        <f>H692</f>
        <v>159245.14</v>
      </c>
      <c r="I711" s="248">
        <f>I697</f>
        <v>1247584.3</v>
      </c>
      <c r="J711" s="249">
        <f>J709+J692+J684</f>
        <v>287823000</v>
      </c>
      <c r="K711" s="106">
        <f>D711*100/J711</f>
        <v>42.70269862728135</v>
      </c>
    </row>
    <row r="712" spans="1:11" ht="12.75">
      <c r="A712" s="254"/>
      <c r="B712" s="244"/>
      <c r="C712" s="247" t="s">
        <v>209</v>
      </c>
      <c r="D712" s="248">
        <v>100</v>
      </c>
      <c r="E712" s="248">
        <f>E711*100/122908188.27</f>
        <v>84.73390939684055</v>
      </c>
      <c r="F712" s="248">
        <f>F711*100/122908188.27</f>
        <v>1.384830436407506</v>
      </c>
      <c r="G712" s="248">
        <f>G711*100/122908188.27</f>
        <v>12.736642009246014</v>
      </c>
      <c r="H712" s="248">
        <f>H711*100/122908188.27</f>
        <v>0.12956430506499406</v>
      </c>
      <c r="I712" s="294">
        <f>I711*100/122908188.27</f>
        <v>1.0150538524409412</v>
      </c>
      <c r="J712" s="249"/>
      <c r="K712" s="122"/>
    </row>
    <row r="713" spans="1:11" ht="12.75">
      <c r="A713" s="254"/>
      <c r="B713" s="254"/>
      <c r="C713" s="333" t="s">
        <v>205</v>
      </c>
      <c r="D713" s="272">
        <f>D714+D715</f>
        <v>5087554.279999999</v>
      </c>
      <c r="E713" s="272"/>
      <c r="F713" s="272"/>
      <c r="G713" s="272"/>
      <c r="H713" s="272"/>
      <c r="I713" s="296"/>
      <c r="J713" s="258">
        <f>J714+J715</f>
        <v>5437000</v>
      </c>
      <c r="K713" s="122"/>
    </row>
    <row r="714" spans="1:11" ht="12.75">
      <c r="A714" s="254"/>
      <c r="B714" s="254"/>
      <c r="C714" s="291" t="s">
        <v>190</v>
      </c>
      <c r="D714" s="292">
        <v>3650554.28</v>
      </c>
      <c r="E714" s="248"/>
      <c r="F714" s="248"/>
      <c r="G714" s="248"/>
      <c r="H714" s="292">
        <v>3650554.28</v>
      </c>
      <c r="I714" s="294"/>
      <c r="J714" s="258">
        <v>4000000</v>
      </c>
      <c r="K714" s="122"/>
    </row>
    <row r="715" spans="1:11" ht="12.75">
      <c r="A715" s="277"/>
      <c r="B715" s="277"/>
      <c r="C715" s="291" t="s">
        <v>191</v>
      </c>
      <c r="D715" s="246">
        <v>1437000</v>
      </c>
      <c r="E715" s="244"/>
      <c r="F715" s="244"/>
      <c r="G715" s="246">
        <v>1437000</v>
      </c>
      <c r="H715" s="244"/>
      <c r="I715" s="334"/>
      <c r="J715" s="258">
        <v>1437000</v>
      </c>
      <c r="K715" s="122"/>
    </row>
    <row r="716" spans="1:11" ht="12.75">
      <c r="A716" s="277"/>
      <c r="B716" s="277"/>
      <c r="C716" s="247" t="s">
        <v>206</v>
      </c>
      <c r="D716" s="278"/>
      <c r="E716" s="278"/>
      <c r="F716" s="278"/>
      <c r="G716" s="278"/>
      <c r="H716" s="278"/>
      <c r="I716" s="335"/>
      <c r="J716" s="249">
        <f>J711+J713</f>
        <v>293260000</v>
      </c>
      <c r="K716" s="122"/>
    </row>
    <row r="717" spans="1:11" ht="12.75">
      <c r="A717" s="277"/>
      <c r="B717" s="277"/>
      <c r="C717" s="251"/>
      <c r="D717" s="277"/>
      <c r="E717" s="277"/>
      <c r="F717" s="277"/>
      <c r="G717" s="277"/>
      <c r="H717" s="277"/>
      <c r="I717" s="277"/>
      <c r="J717" s="249"/>
      <c r="K717" s="122"/>
    </row>
    <row r="718" spans="1:11" ht="12.75">
      <c r="A718" s="277"/>
      <c r="B718" s="277"/>
      <c r="C718" s="247" t="s">
        <v>207</v>
      </c>
      <c r="D718" s="249">
        <v>107362902.49000001</v>
      </c>
      <c r="E718" s="249">
        <v>97678691.37</v>
      </c>
      <c r="F718" s="249">
        <v>1633750</v>
      </c>
      <c r="G718" s="249">
        <v>6365765.619999999</v>
      </c>
      <c r="H718" s="249">
        <v>244901.87</v>
      </c>
      <c r="I718" s="336">
        <v>1439793.63</v>
      </c>
      <c r="J718" s="249">
        <v>293260000</v>
      </c>
      <c r="K718" s="125"/>
    </row>
    <row r="719" spans="1:11" ht="12.75">
      <c r="A719" s="277"/>
      <c r="B719" s="277"/>
      <c r="C719" s="247" t="s">
        <v>168</v>
      </c>
      <c r="D719" s="248">
        <f aca="true" t="shared" si="18" ref="D719:I719">D711-D718</f>
        <v>15545285.779999986</v>
      </c>
      <c r="E719" s="248">
        <f t="shared" si="18"/>
        <v>6466221.519999996</v>
      </c>
      <c r="F719" s="248">
        <f t="shared" si="18"/>
        <v>68320</v>
      </c>
      <c r="G719" s="248">
        <f t="shared" si="18"/>
        <v>9288610.32</v>
      </c>
      <c r="H719" s="248">
        <f t="shared" si="18"/>
        <v>-85656.72999999998</v>
      </c>
      <c r="I719" s="294">
        <f t="shared" si="18"/>
        <v>-192209.32999999984</v>
      </c>
      <c r="J719" s="248">
        <v>0</v>
      </c>
      <c r="K719" s="122"/>
    </row>
    <row r="720" spans="1:11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337"/>
      <c r="K720" s="145"/>
    </row>
    <row r="721" spans="1:10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337"/>
    </row>
    <row r="722" spans="1:10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</row>
    <row r="723" spans="1:10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</row>
    <row r="724" spans="1:10" ht="12.75">
      <c r="A724" s="238" t="s">
        <v>203</v>
      </c>
      <c r="B724" s="238"/>
      <c r="C724" s="238"/>
      <c r="D724" s="285"/>
      <c r="E724" s="287"/>
      <c r="F724" s="280"/>
      <c r="G724" s="237"/>
      <c r="H724" s="237"/>
      <c r="I724" s="237"/>
      <c r="J724" s="237"/>
    </row>
    <row r="725" spans="1:10" ht="12.75">
      <c r="A725" s="254"/>
      <c r="B725" s="254"/>
      <c r="C725" s="285" t="s">
        <v>212</v>
      </c>
      <c r="D725" s="262"/>
      <c r="E725" s="262"/>
      <c r="F725" s="262"/>
      <c r="G725" s="338" t="s">
        <v>221</v>
      </c>
      <c r="H725" s="262"/>
      <c r="I725" s="262"/>
      <c r="J725" s="237"/>
    </row>
    <row r="726" spans="1:11" ht="33.75">
      <c r="A726" s="239" t="s">
        <v>0</v>
      </c>
      <c r="B726" s="239" t="s">
        <v>208</v>
      </c>
      <c r="C726" s="239" t="s">
        <v>1</v>
      </c>
      <c r="D726" s="239" t="s">
        <v>3</v>
      </c>
      <c r="E726" s="339" t="s">
        <v>4</v>
      </c>
      <c r="F726" s="239" t="s">
        <v>197</v>
      </c>
      <c r="G726" s="340" t="s">
        <v>175</v>
      </c>
      <c r="H726" s="239" t="s">
        <v>170</v>
      </c>
      <c r="I726" s="286"/>
      <c r="J726" s="286"/>
      <c r="K726" s="55"/>
    </row>
    <row r="727" spans="1:11" ht="12.75">
      <c r="A727" s="332">
        <v>7811110101</v>
      </c>
      <c r="B727" s="258">
        <f>D727*100/104144912.89</f>
        <v>76.53079225692366</v>
      </c>
      <c r="C727" s="244" t="s">
        <v>155</v>
      </c>
      <c r="D727" s="245">
        <v>79702926.93</v>
      </c>
      <c r="E727" s="293"/>
      <c r="F727" s="245">
        <f aca="true" t="shared" si="19" ref="F727:F736">D727+E727</f>
        <v>79702926.93</v>
      </c>
      <c r="G727" s="341">
        <v>187186000</v>
      </c>
      <c r="H727" s="245">
        <f>D727*100/G727</f>
        <v>42.57953422264486</v>
      </c>
      <c r="I727" s="262"/>
      <c r="J727" s="261"/>
      <c r="K727" s="92"/>
    </row>
    <row r="728" spans="1:11" ht="12.75">
      <c r="A728" s="332">
        <v>7811110102</v>
      </c>
      <c r="B728" s="258">
        <f aca="true" t="shared" si="20" ref="B728:B733">D728*100/104144912.89</f>
        <v>2.5765380713642654</v>
      </c>
      <c r="C728" s="244" t="s">
        <v>156</v>
      </c>
      <c r="D728" s="245">
        <v>2683333.33</v>
      </c>
      <c r="E728" s="293"/>
      <c r="F728" s="245">
        <f t="shared" si="19"/>
        <v>2683333.33</v>
      </c>
      <c r="G728" s="341">
        <v>4025000</v>
      </c>
      <c r="H728" s="245">
        <f aca="true" t="shared" si="21" ref="H728:H736">D728*100/G728</f>
        <v>66.66666658385093</v>
      </c>
      <c r="I728" s="262"/>
      <c r="J728" s="261"/>
      <c r="K728" s="92"/>
    </row>
    <row r="729" spans="1:11" ht="12.75">
      <c r="A729" s="332">
        <v>7811110103</v>
      </c>
      <c r="B729" s="258">
        <f t="shared" si="20"/>
        <v>4.393877591345499</v>
      </c>
      <c r="C729" s="244" t="s">
        <v>157</v>
      </c>
      <c r="D729" s="245">
        <v>4575999.99</v>
      </c>
      <c r="E729" s="293"/>
      <c r="F729" s="245">
        <f t="shared" si="19"/>
        <v>4575999.99</v>
      </c>
      <c r="G729" s="341">
        <v>14025000</v>
      </c>
      <c r="H729" s="245">
        <f t="shared" si="21"/>
        <v>32.62745090909091</v>
      </c>
      <c r="I729" s="262"/>
      <c r="J729" s="261"/>
      <c r="K729" s="92"/>
    </row>
    <row r="730" spans="1:11" ht="12.75">
      <c r="A730" s="332">
        <v>7811110104</v>
      </c>
      <c r="B730" s="258">
        <f t="shared" si="20"/>
        <v>2.2642469368529516</v>
      </c>
      <c r="C730" s="244" t="s">
        <v>158</v>
      </c>
      <c r="D730" s="245">
        <v>2358098</v>
      </c>
      <c r="E730" s="293"/>
      <c r="F730" s="245">
        <f t="shared" si="19"/>
        <v>2358098</v>
      </c>
      <c r="G730" s="341">
        <f>13692000-4915000</f>
        <v>8777000</v>
      </c>
      <c r="H730" s="245">
        <f t="shared" si="21"/>
        <v>26.86678819642247</v>
      </c>
      <c r="I730" s="262"/>
      <c r="J730" s="261"/>
      <c r="K730" s="92"/>
    </row>
    <row r="731" spans="1:11" ht="12.75">
      <c r="A731" s="332">
        <v>7811110105</v>
      </c>
      <c r="B731" s="258">
        <f t="shared" si="20"/>
        <v>1.4318990324329033</v>
      </c>
      <c r="C731" s="244" t="s">
        <v>159</v>
      </c>
      <c r="D731" s="245">
        <v>1491250</v>
      </c>
      <c r="E731" s="293"/>
      <c r="F731" s="245">
        <f t="shared" si="19"/>
        <v>1491250</v>
      </c>
      <c r="G731" s="341">
        <v>5965000</v>
      </c>
      <c r="H731" s="245">
        <f t="shared" si="21"/>
        <v>25</v>
      </c>
      <c r="I731" s="262"/>
      <c r="J731" s="261"/>
      <c r="K731" s="92"/>
    </row>
    <row r="732" spans="1:11" ht="12.75">
      <c r="A732" s="332">
        <v>7811110106</v>
      </c>
      <c r="B732" s="258">
        <f t="shared" si="20"/>
        <v>1.28570850254998</v>
      </c>
      <c r="C732" s="244" t="s">
        <v>160</v>
      </c>
      <c r="D732" s="245">
        <v>1339000</v>
      </c>
      <c r="E732" s="293"/>
      <c r="F732" s="245">
        <f t="shared" si="19"/>
        <v>1339000</v>
      </c>
      <c r="G732" s="341">
        <v>5356000</v>
      </c>
      <c r="H732" s="245">
        <f t="shared" si="21"/>
        <v>25</v>
      </c>
      <c r="I732" s="262"/>
      <c r="J732" s="261"/>
      <c r="K732" s="92"/>
    </row>
    <row r="733" spans="1:11" ht="12.75">
      <c r="A733" s="332">
        <v>781111013</v>
      </c>
      <c r="B733" s="258">
        <f t="shared" si="20"/>
        <v>11.375409812395686</v>
      </c>
      <c r="C733" s="244" t="s">
        <v>161</v>
      </c>
      <c r="D733" s="245">
        <v>11846910.64</v>
      </c>
      <c r="E733" s="293"/>
      <c r="F733" s="245">
        <f t="shared" si="19"/>
        <v>11846910.64</v>
      </c>
      <c r="G733" s="341">
        <v>28900000</v>
      </c>
      <c r="H733" s="245">
        <f t="shared" si="21"/>
        <v>40.99277038062284</v>
      </c>
      <c r="I733" s="262"/>
      <c r="J733" s="261"/>
      <c r="K733" s="92"/>
    </row>
    <row r="734" spans="1:11" ht="12.75">
      <c r="A734" s="332">
        <v>7811110501</v>
      </c>
      <c r="B734" s="258">
        <f>E734*100/1702070</f>
        <v>96.70577590815888</v>
      </c>
      <c r="C734" s="244" t="s">
        <v>210</v>
      </c>
      <c r="D734" s="245"/>
      <c r="E734" s="293">
        <f>1097970+548030</f>
        <v>1646000</v>
      </c>
      <c r="F734" s="245">
        <f t="shared" si="19"/>
        <v>1646000</v>
      </c>
      <c r="G734" s="341">
        <v>4915000</v>
      </c>
      <c r="H734" s="245">
        <f>E734*100/G734</f>
        <v>33.489318413021365</v>
      </c>
      <c r="I734" s="262"/>
      <c r="J734" s="261"/>
      <c r="K734" s="122"/>
    </row>
    <row r="735" spans="1:11" ht="12.75">
      <c r="A735" s="332">
        <v>7811110502</v>
      </c>
      <c r="B735" s="258">
        <f>E735*100/1702070</f>
        <v>3.294224091841111</v>
      </c>
      <c r="C735" s="244" t="s">
        <v>211</v>
      </c>
      <c r="D735" s="245"/>
      <c r="E735" s="293">
        <f>55770+300</f>
        <v>56070</v>
      </c>
      <c r="F735" s="245">
        <f t="shared" si="19"/>
        <v>56070</v>
      </c>
      <c r="G735" s="341">
        <v>134000</v>
      </c>
      <c r="H735" s="245">
        <f>E735*100/G735</f>
        <v>41.843283582089555</v>
      </c>
      <c r="I735" s="262"/>
      <c r="J735" s="261"/>
      <c r="K735" s="92"/>
    </row>
    <row r="736" spans="1:11" ht="12.75">
      <c r="A736" s="247">
        <v>7811</v>
      </c>
      <c r="B736" s="249">
        <v>100</v>
      </c>
      <c r="C736" s="247" t="s">
        <v>166</v>
      </c>
      <c r="D736" s="248">
        <f>SUM(D727:D735)</f>
        <v>103997518.89</v>
      </c>
      <c r="E736" s="294">
        <f>SUM(E733:E735)</f>
        <v>1702070</v>
      </c>
      <c r="F736" s="281">
        <f t="shared" si="19"/>
        <v>105699588.89</v>
      </c>
      <c r="G736" s="342">
        <f>SUM(G727:G735)</f>
        <v>259283000</v>
      </c>
      <c r="H736" s="281">
        <f t="shared" si="21"/>
        <v>40.10965581623169</v>
      </c>
      <c r="I736" s="252"/>
      <c r="J736" s="287"/>
      <c r="K736" s="120"/>
    </row>
    <row r="737" spans="1:11" ht="12.75">
      <c r="A737" s="251"/>
      <c r="B737" s="287"/>
      <c r="C737" s="251"/>
      <c r="D737" s="252"/>
      <c r="E737" s="252"/>
      <c r="F737" s="338"/>
      <c r="G737" s="252"/>
      <c r="H737" s="338"/>
      <c r="I737" s="252"/>
      <c r="J737" s="287"/>
      <c r="K737" s="120"/>
    </row>
    <row r="738" spans="1:11" ht="12.75">
      <c r="A738" s="251"/>
      <c r="B738" s="287"/>
      <c r="C738" s="251"/>
      <c r="D738" s="252"/>
      <c r="E738" s="252"/>
      <c r="F738" s="338"/>
      <c r="G738" s="252"/>
      <c r="H738" s="338"/>
      <c r="I738" s="252"/>
      <c r="J738" s="287"/>
      <c r="K738" s="120"/>
    </row>
    <row r="739" spans="1:11" ht="12.75">
      <c r="A739" s="251"/>
      <c r="B739" s="287"/>
      <c r="C739" s="251"/>
      <c r="D739" s="252"/>
      <c r="E739" s="252"/>
      <c r="F739" s="338"/>
      <c r="G739" s="252"/>
      <c r="H739" s="338"/>
      <c r="I739" s="252"/>
      <c r="J739" s="287"/>
      <c r="K739" s="120"/>
    </row>
    <row r="740" spans="1:11" ht="12.75">
      <c r="A740" s="251"/>
      <c r="B740" s="287"/>
      <c r="C740" s="251"/>
      <c r="D740" s="252"/>
      <c r="E740" s="252"/>
      <c r="F740" s="338"/>
      <c r="G740" s="252"/>
      <c r="H740" s="338"/>
      <c r="I740" s="252"/>
      <c r="J740" s="287"/>
      <c r="K740" s="120"/>
    </row>
    <row r="741" spans="1:11" ht="12.75">
      <c r="A741" s="251"/>
      <c r="B741" s="287"/>
      <c r="C741" s="251"/>
      <c r="D741" s="252"/>
      <c r="E741" s="252"/>
      <c r="F741" s="338"/>
      <c r="G741" s="252"/>
      <c r="H741" s="338"/>
      <c r="I741" s="252"/>
      <c r="J741" s="287"/>
      <c r="K741" s="120"/>
    </row>
    <row r="742" spans="1:11" ht="12.75">
      <c r="A742" s="251"/>
      <c r="B742" s="287"/>
      <c r="C742" s="251"/>
      <c r="D742" s="252"/>
      <c r="E742" s="252"/>
      <c r="F742" s="338"/>
      <c r="G742" s="252"/>
      <c r="H742" s="338"/>
      <c r="I742" s="252"/>
      <c r="J742" s="287"/>
      <c r="K742" s="120"/>
    </row>
    <row r="743" spans="1:11" ht="12.75">
      <c r="A743" s="251"/>
      <c r="B743" s="287"/>
      <c r="C743" s="251"/>
      <c r="D743" s="252"/>
      <c r="E743" s="252"/>
      <c r="F743" s="338"/>
      <c r="G743" s="252"/>
      <c r="H743" s="338"/>
      <c r="I743" s="252"/>
      <c r="J743" s="287"/>
      <c r="K743" s="120"/>
    </row>
    <row r="744" spans="1:11" ht="12.75">
      <c r="A744" s="251"/>
      <c r="B744" s="287"/>
      <c r="C744" s="251"/>
      <c r="D744" s="252"/>
      <c r="E744" s="252"/>
      <c r="F744" s="338"/>
      <c r="G744" s="252"/>
      <c r="H744" s="338"/>
      <c r="I744" s="252"/>
      <c r="J744" s="287"/>
      <c r="K744" s="120"/>
    </row>
    <row r="745" spans="1:11" ht="12.75">
      <c r="A745" s="237"/>
      <c r="B745" s="237"/>
      <c r="C745" s="237"/>
      <c r="D745" s="237"/>
      <c r="E745" s="237"/>
      <c r="F745" s="237"/>
      <c r="G745" s="237"/>
      <c r="H745" s="237"/>
      <c r="I745" s="277"/>
      <c r="J745" s="277"/>
      <c r="K745" s="18"/>
    </row>
    <row r="746" spans="1:10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</row>
    <row r="747" spans="1:10" ht="12.75">
      <c r="A747" s="238" t="s">
        <v>203</v>
      </c>
      <c r="B747" s="238"/>
      <c r="C747" s="238"/>
      <c r="D747" s="285"/>
      <c r="E747" s="287"/>
      <c r="F747" s="343" t="s">
        <v>222</v>
      </c>
      <c r="G747" s="237"/>
      <c r="H747" s="237"/>
      <c r="I747" s="237"/>
      <c r="J747" s="237"/>
    </row>
    <row r="748" spans="1:11" ht="12.75">
      <c r="A748" s="254"/>
      <c r="B748" s="254"/>
      <c r="C748" s="285" t="s">
        <v>246</v>
      </c>
      <c r="D748" s="262"/>
      <c r="E748" s="262"/>
      <c r="F748" s="262"/>
      <c r="G748" s="262"/>
      <c r="H748" s="235"/>
      <c r="I748" s="235"/>
      <c r="J748" s="235"/>
      <c r="K748" s="27"/>
    </row>
    <row r="749" spans="1:10" ht="33.75">
      <c r="A749" s="239" t="s">
        <v>0</v>
      </c>
      <c r="B749" s="239" t="s">
        <v>208</v>
      </c>
      <c r="C749" s="239" t="s">
        <v>1</v>
      </c>
      <c r="D749" s="239" t="s">
        <v>5</v>
      </c>
      <c r="E749" s="340" t="s">
        <v>175</v>
      </c>
      <c r="F749" s="239" t="s">
        <v>170</v>
      </c>
      <c r="G749" s="237"/>
      <c r="H749" s="237"/>
      <c r="I749" s="237"/>
      <c r="J749" s="237"/>
    </row>
    <row r="750" spans="1:10" ht="12.75">
      <c r="A750" s="244">
        <v>74212101</v>
      </c>
      <c r="B750" s="246">
        <f>D750*100/14236152.35</f>
        <v>2.9732050458142223</v>
      </c>
      <c r="C750" s="244" t="s">
        <v>140</v>
      </c>
      <c r="D750" s="245">
        <v>423270</v>
      </c>
      <c r="E750" s="246"/>
      <c r="F750" s="246"/>
      <c r="G750" s="237"/>
      <c r="H750" s="237"/>
      <c r="I750" s="237"/>
      <c r="J750" s="237"/>
    </row>
    <row r="751" spans="1:10" ht="12.75">
      <c r="A751" s="244">
        <v>74212102</v>
      </c>
      <c r="B751" s="246">
        <f aca="true" t="shared" si="22" ref="B751:B761">D751*100/14236152.35</f>
        <v>24.635220555222563</v>
      </c>
      <c r="C751" s="244" t="s">
        <v>142</v>
      </c>
      <c r="D751" s="245">
        <v>3507107.53</v>
      </c>
      <c r="E751" s="246"/>
      <c r="F751" s="246"/>
      <c r="G751" s="237"/>
      <c r="H751" s="237"/>
      <c r="I751" s="237"/>
      <c r="J751" s="237"/>
    </row>
    <row r="752" spans="1:10" ht="12.75">
      <c r="A752" s="244">
        <v>74212111</v>
      </c>
      <c r="B752" s="246">
        <f t="shared" si="22"/>
        <v>0.795699197473115</v>
      </c>
      <c r="C752" s="244" t="s">
        <v>141</v>
      </c>
      <c r="D752" s="245">
        <v>113276.95</v>
      </c>
      <c r="E752" s="246"/>
      <c r="F752" s="246"/>
      <c r="G752" s="237"/>
      <c r="H752" s="237"/>
      <c r="I752" s="237"/>
      <c r="J752" s="237"/>
    </row>
    <row r="753" spans="1:10" ht="12.75">
      <c r="A753" s="244">
        <v>74212112</v>
      </c>
      <c r="B753" s="246">
        <f t="shared" si="22"/>
        <v>0.8266563682847915</v>
      </c>
      <c r="C753" s="244" t="s">
        <v>143</v>
      </c>
      <c r="D753" s="245">
        <v>117684.06</v>
      </c>
      <c r="E753" s="246"/>
      <c r="F753" s="246"/>
      <c r="G753" s="237"/>
      <c r="H753" s="237"/>
      <c r="I753" s="237"/>
      <c r="J753" s="237"/>
    </row>
    <row r="754" spans="1:10" ht="12.75">
      <c r="A754" s="244"/>
      <c r="B754" s="246">
        <f t="shared" si="22"/>
        <v>29.230781166794692</v>
      </c>
      <c r="C754" s="247" t="s">
        <v>213</v>
      </c>
      <c r="D754" s="248">
        <f>SUM(D750:D753)</f>
        <v>4161338.54</v>
      </c>
      <c r="E754" s="263"/>
      <c r="F754" s="263"/>
      <c r="G754" s="237"/>
      <c r="H754" s="237"/>
      <c r="I754" s="237"/>
      <c r="J754" s="237"/>
    </row>
    <row r="755" spans="1:10" ht="12.75">
      <c r="A755" s="244">
        <v>7421216</v>
      </c>
      <c r="B755" s="246">
        <f t="shared" si="22"/>
        <v>1.1185967674755886</v>
      </c>
      <c r="C755" s="244" t="s">
        <v>215</v>
      </c>
      <c r="D755" s="245">
        <v>159245.14</v>
      </c>
      <c r="E755" s="246"/>
      <c r="F755" s="246"/>
      <c r="G755" s="237"/>
      <c r="H755" s="237"/>
      <c r="I755" s="237"/>
      <c r="J755" s="237"/>
    </row>
    <row r="756" spans="1:10" ht="12.75">
      <c r="A756" s="244">
        <v>7421217</v>
      </c>
      <c r="B756" s="246">
        <f t="shared" si="22"/>
        <v>69.06459644624412</v>
      </c>
      <c r="C756" s="244" t="s">
        <v>146</v>
      </c>
      <c r="D756" s="245">
        <v>9832141.17</v>
      </c>
      <c r="E756" s="246"/>
      <c r="F756" s="246"/>
      <c r="G756" s="237"/>
      <c r="H756" s="237"/>
      <c r="I756" s="237"/>
      <c r="J756" s="237"/>
    </row>
    <row r="757" spans="1:10" ht="12.75">
      <c r="A757" s="244">
        <v>742161</v>
      </c>
      <c r="B757" s="246">
        <f t="shared" si="22"/>
        <v>0.5443556523894604</v>
      </c>
      <c r="C757" s="244" t="s">
        <v>148</v>
      </c>
      <c r="D757" s="245">
        <v>77495.3</v>
      </c>
      <c r="E757" s="246"/>
      <c r="F757" s="246"/>
      <c r="G757" s="237"/>
      <c r="H757" s="237"/>
      <c r="I757" s="237"/>
      <c r="J757" s="237"/>
    </row>
    <row r="758" spans="1:10" ht="12.75">
      <c r="A758" s="247">
        <v>7421</v>
      </c>
      <c r="B758" s="246">
        <f t="shared" si="22"/>
        <v>70.72754886610919</v>
      </c>
      <c r="C758" s="247" t="s">
        <v>149</v>
      </c>
      <c r="D758" s="248">
        <f>SUM(D755:D757)</f>
        <v>10068881.610000001</v>
      </c>
      <c r="E758" s="246"/>
      <c r="F758" s="246"/>
      <c r="G758" s="237"/>
      <c r="H758" s="237"/>
      <c r="I758" s="237"/>
      <c r="J758" s="237"/>
    </row>
    <row r="759" spans="1:10" ht="12.75">
      <c r="A759" s="244">
        <v>7451611</v>
      </c>
      <c r="B759" s="246">
        <f t="shared" si="22"/>
        <v>0.04166996709613044</v>
      </c>
      <c r="C759" s="244" t="s">
        <v>150</v>
      </c>
      <c r="D759" s="245">
        <v>5932.2</v>
      </c>
      <c r="E759" s="246"/>
      <c r="F759" s="246"/>
      <c r="G759" s="237"/>
      <c r="H759" s="237"/>
      <c r="I759" s="237"/>
      <c r="J759" s="237"/>
    </row>
    <row r="760" spans="1:10" ht="12.75">
      <c r="A760" s="247">
        <v>7451</v>
      </c>
      <c r="B760" s="246">
        <f t="shared" si="22"/>
        <v>0.04166996709613044</v>
      </c>
      <c r="C760" s="247" t="s">
        <v>151</v>
      </c>
      <c r="D760" s="248">
        <f>SUM(D759)</f>
        <v>5932.2</v>
      </c>
      <c r="E760" s="263"/>
      <c r="F760" s="263"/>
      <c r="G760" s="237"/>
      <c r="H760" s="237"/>
      <c r="I760" s="237"/>
      <c r="J760" s="237"/>
    </row>
    <row r="761" spans="1:10" ht="12.75">
      <c r="A761" s="244"/>
      <c r="B761" s="246">
        <f t="shared" si="22"/>
        <v>100.00000000000001</v>
      </c>
      <c r="C761" s="247" t="s">
        <v>219</v>
      </c>
      <c r="D761" s="248">
        <f>D754+D758+D760</f>
        <v>14236152.350000001</v>
      </c>
      <c r="E761" s="263">
        <v>23920000</v>
      </c>
      <c r="F761" s="263">
        <f>D761*100/E761</f>
        <v>59.51568708193981</v>
      </c>
      <c r="G761" s="237"/>
      <c r="H761" s="237"/>
      <c r="I761" s="237"/>
      <c r="J761" s="237"/>
    </row>
    <row r="762" spans="1:10" ht="12.75">
      <c r="A762" s="244">
        <v>74212103</v>
      </c>
      <c r="B762" s="246">
        <f>D762*100/1577468.73</f>
        <v>68.08185668441111</v>
      </c>
      <c r="C762" s="244" t="s">
        <v>139</v>
      </c>
      <c r="D762" s="245">
        <v>1073970</v>
      </c>
      <c r="E762" s="246"/>
      <c r="F762" s="263"/>
      <c r="G762" s="237"/>
      <c r="H762" s="237"/>
      <c r="I762" s="237"/>
      <c r="J762" s="237"/>
    </row>
    <row r="763" spans="1:10" ht="12.75">
      <c r="A763" s="244">
        <v>74212113</v>
      </c>
      <c r="B763" s="246">
        <f>D763*100/1577468.73</f>
        <v>7.068285911442441</v>
      </c>
      <c r="C763" s="244" t="s">
        <v>144</v>
      </c>
      <c r="D763" s="245">
        <v>111500</v>
      </c>
      <c r="E763" s="246"/>
      <c r="F763" s="263"/>
      <c r="G763" s="237"/>
      <c r="H763" s="237"/>
      <c r="I763" s="237"/>
      <c r="J763" s="237"/>
    </row>
    <row r="764" spans="1:10" ht="12.75">
      <c r="A764" s="244">
        <v>74212171</v>
      </c>
      <c r="B764" s="246">
        <f>D764*100/1577468.73</f>
        <v>24.84985740414645</v>
      </c>
      <c r="C764" s="244" t="s">
        <v>147</v>
      </c>
      <c r="D764" s="245">
        <v>391998.73</v>
      </c>
      <c r="E764" s="246"/>
      <c r="F764" s="263"/>
      <c r="G764" s="237"/>
      <c r="H764" s="237"/>
      <c r="I764" s="237"/>
      <c r="J764" s="237"/>
    </row>
    <row r="765" spans="1:10" ht="12.75">
      <c r="A765" s="244"/>
      <c r="B765" s="344">
        <f>SUM(B762:B764)</f>
        <v>100</v>
      </c>
      <c r="C765" s="247" t="s">
        <v>214</v>
      </c>
      <c r="D765" s="248">
        <f>SUM(D762:D764)</f>
        <v>1577468.73</v>
      </c>
      <c r="E765" s="263">
        <v>4620000</v>
      </c>
      <c r="F765" s="263">
        <f aca="true" t="shared" si="23" ref="F765:F770">D765*100/E765</f>
        <v>34.144344805194805</v>
      </c>
      <c r="G765" s="237"/>
      <c r="H765" s="237"/>
      <c r="I765" s="237"/>
      <c r="J765" s="237"/>
    </row>
    <row r="766" spans="1:10" ht="12.75">
      <c r="A766" s="237"/>
      <c r="B766" s="237"/>
      <c r="C766" s="247" t="s">
        <v>216</v>
      </c>
      <c r="D766" s="248">
        <f>D761+D765</f>
        <v>15813621.080000002</v>
      </c>
      <c r="E766" s="263">
        <f>SUM(E750:E765)</f>
        <v>28540000</v>
      </c>
      <c r="F766" s="263">
        <f t="shared" si="23"/>
        <v>55.40862326559216</v>
      </c>
      <c r="G766" s="237"/>
      <c r="H766" s="237"/>
      <c r="I766" s="237"/>
      <c r="J766" s="237"/>
    </row>
    <row r="767" spans="1:10" ht="12.75">
      <c r="A767" s="237"/>
      <c r="B767" s="237"/>
      <c r="C767" s="247" t="s">
        <v>217</v>
      </c>
      <c r="D767" s="246"/>
      <c r="E767" s="246"/>
      <c r="F767" s="263"/>
      <c r="G767" s="237"/>
      <c r="H767" s="237"/>
      <c r="I767" s="237"/>
      <c r="J767" s="237"/>
    </row>
    <row r="768" spans="1:10" ht="12.75">
      <c r="A768" s="237"/>
      <c r="B768" s="237"/>
      <c r="C768" s="247" t="s">
        <v>190</v>
      </c>
      <c r="D768" s="246">
        <v>3650554.28</v>
      </c>
      <c r="E768" s="246">
        <v>4000000</v>
      </c>
      <c r="F768" s="263">
        <f t="shared" si="23"/>
        <v>91.263857</v>
      </c>
      <c r="G768" s="237"/>
      <c r="H768" s="237"/>
      <c r="I768" s="237"/>
      <c r="J768" s="237"/>
    </row>
    <row r="769" spans="1:10" ht="12.75">
      <c r="A769" s="237"/>
      <c r="B769" s="237"/>
      <c r="C769" s="247" t="s">
        <v>191</v>
      </c>
      <c r="D769" s="246">
        <v>1437000</v>
      </c>
      <c r="E769" s="246">
        <v>1437000</v>
      </c>
      <c r="F769" s="263">
        <f t="shared" si="23"/>
        <v>100</v>
      </c>
      <c r="G769" s="237"/>
      <c r="H769" s="237"/>
      <c r="I769" s="237"/>
      <c r="J769" s="237"/>
    </row>
    <row r="770" spans="1:10" ht="12.75">
      <c r="A770" s="237"/>
      <c r="B770" s="237"/>
      <c r="C770" s="247" t="s">
        <v>218</v>
      </c>
      <c r="D770" s="246">
        <f>SUM(D766:D769)</f>
        <v>20901175.360000003</v>
      </c>
      <c r="E770" s="246">
        <f>SUM(E766:E769)</f>
        <v>33977000</v>
      </c>
      <c r="F770" s="263">
        <f t="shared" si="23"/>
        <v>61.51565871030404</v>
      </c>
      <c r="G770" s="237"/>
      <c r="H770" s="237"/>
      <c r="I770" s="237"/>
      <c r="J770" s="237"/>
    </row>
    <row r="771" spans="1:10" ht="12.75">
      <c r="A771" s="237"/>
      <c r="B771" s="237"/>
      <c r="C771" s="237"/>
      <c r="D771" s="237"/>
      <c r="E771" s="345"/>
      <c r="F771" s="237"/>
      <c r="G771" s="237"/>
      <c r="H771" s="237"/>
      <c r="I771" s="237"/>
      <c r="J771" s="237"/>
    </row>
    <row r="772" spans="1:10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</row>
    <row r="773" spans="1:10" ht="12.75">
      <c r="A773" s="238" t="s">
        <v>240</v>
      </c>
      <c r="B773" s="238"/>
      <c r="C773" s="238"/>
      <c r="D773" s="285"/>
      <c r="E773" s="287"/>
      <c r="F773" s="237"/>
      <c r="G773" s="237"/>
      <c r="H773" s="237"/>
      <c r="I773" s="237"/>
      <c r="J773" s="237"/>
    </row>
    <row r="774" spans="1:10" ht="12.75">
      <c r="A774" s="285" t="s">
        <v>231</v>
      </c>
      <c r="B774" s="285"/>
      <c r="C774" s="285"/>
      <c r="D774" s="262"/>
      <c r="E774" s="262"/>
      <c r="F774" s="237"/>
      <c r="G774" s="237"/>
      <c r="H774" s="343" t="s">
        <v>233</v>
      </c>
      <c r="I774" s="237"/>
      <c r="J774" s="237"/>
    </row>
    <row r="775" spans="1:10" ht="33.75">
      <c r="A775" s="239" t="s">
        <v>0</v>
      </c>
      <c r="B775" s="239" t="s">
        <v>208</v>
      </c>
      <c r="C775" s="239" t="s">
        <v>1</v>
      </c>
      <c r="D775" s="239" t="s">
        <v>2</v>
      </c>
      <c r="E775" s="239" t="s">
        <v>3</v>
      </c>
      <c r="F775" s="240" t="s">
        <v>4</v>
      </c>
      <c r="G775" s="239" t="s">
        <v>5</v>
      </c>
      <c r="H775" s="239" t="s">
        <v>175</v>
      </c>
      <c r="I775" s="239" t="s">
        <v>170</v>
      </c>
      <c r="J775" s="237"/>
    </row>
    <row r="776" spans="1:10" ht="12.75">
      <c r="A776" s="332">
        <v>781111013</v>
      </c>
      <c r="B776" s="258"/>
      <c r="C776" s="244" t="s">
        <v>161</v>
      </c>
      <c r="D776" s="246">
        <f aca="true" t="shared" si="24" ref="D776:D781">E776+F776+G776</f>
        <v>11846910.64</v>
      </c>
      <c r="E776" s="246">
        <v>11846910.64</v>
      </c>
      <c r="F776" s="246"/>
      <c r="G776" s="246"/>
      <c r="H776" s="246">
        <v>28900000</v>
      </c>
      <c r="I776" s="246">
        <f>D776*100/H776</f>
        <v>40.99277038062284</v>
      </c>
      <c r="J776" s="237"/>
    </row>
    <row r="777" spans="1:10" ht="12.75">
      <c r="A777" s="332">
        <v>7811110502</v>
      </c>
      <c r="B777" s="258"/>
      <c r="C777" s="244" t="s">
        <v>211</v>
      </c>
      <c r="D777" s="246">
        <f t="shared" si="24"/>
        <v>56070</v>
      </c>
      <c r="E777" s="246"/>
      <c r="F777" s="246">
        <v>56070</v>
      </c>
      <c r="G777" s="246"/>
      <c r="H777" s="246">
        <v>134000</v>
      </c>
      <c r="I777" s="246">
        <f>D777*100/H777</f>
        <v>41.843283582089555</v>
      </c>
      <c r="J777" s="237"/>
    </row>
    <row r="778" spans="1:10" ht="12.75">
      <c r="A778" s="244">
        <v>74212103</v>
      </c>
      <c r="B778" s="246"/>
      <c r="C778" s="244" t="s">
        <v>139</v>
      </c>
      <c r="D778" s="246">
        <f t="shared" si="24"/>
        <v>1073970</v>
      </c>
      <c r="E778" s="246"/>
      <c r="F778" s="246"/>
      <c r="G778" s="246">
        <v>1073970</v>
      </c>
      <c r="H778" s="246"/>
      <c r="I778" s="246"/>
      <c r="J778" s="237"/>
    </row>
    <row r="779" spans="1:10" ht="12.75">
      <c r="A779" s="244">
        <v>74212113</v>
      </c>
      <c r="B779" s="246"/>
      <c r="C779" s="244" t="s">
        <v>144</v>
      </c>
      <c r="D779" s="246">
        <f t="shared" si="24"/>
        <v>111500</v>
      </c>
      <c r="E779" s="246"/>
      <c r="F779" s="246"/>
      <c r="G779" s="246">
        <v>111500</v>
      </c>
      <c r="H779" s="246"/>
      <c r="I779" s="246"/>
      <c r="J779" s="237"/>
    </row>
    <row r="780" spans="1:10" ht="12.75">
      <c r="A780" s="244">
        <v>74212171</v>
      </c>
      <c r="B780" s="246"/>
      <c r="C780" s="244" t="s">
        <v>147</v>
      </c>
      <c r="D780" s="246">
        <f t="shared" si="24"/>
        <v>391998.73</v>
      </c>
      <c r="E780" s="246"/>
      <c r="F780" s="246"/>
      <c r="G780" s="246">
        <v>391998.73</v>
      </c>
      <c r="H780" s="246"/>
      <c r="I780" s="246"/>
      <c r="J780" s="237"/>
    </row>
    <row r="781" spans="1:10" ht="12.75">
      <c r="A781" s="244"/>
      <c r="B781" s="246"/>
      <c r="C781" s="244" t="s">
        <v>232</v>
      </c>
      <c r="D781" s="246">
        <f t="shared" si="24"/>
        <v>1577468.73</v>
      </c>
      <c r="E781" s="246"/>
      <c r="F781" s="246"/>
      <c r="G781" s="246">
        <f>SUM(G778:G780)</f>
        <v>1577468.73</v>
      </c>
      <c r="H781" s="246">
        <v>4620000</v>
      </c>
      <c r="I781" s="246">
        <f>D781*100/H781</f>
        <v>34.144344805194805</v>
      </c>
      <c r="J781" s="237"/>
    </row>
    <row r="782" spans="1:10" ht="12.75">
      <c r="A782" s="279"/>
      <c r="B782" s="279"/>
      <c r="C782" s="264" t="s">
        <v>2</v>
      </c>
      <c r="D782" s="249">
        <f>D776+D777+D781</f>
        <v>13480449.370000001</v>
      </c>
      <c r="E782" s="249">
        <f>E776+E777+E781</f>
        <v>11846910.64</v>
      </c>
      <c r="F782" s="249">
        <f>F776+F777+F781</f>
        <v>56070</v>
      </c>
      <c r="G782" s="249">
        <f>G776+G777+G781</f>
        <v>1577468.73</v>
      </c>
      <c r="H782" s="249">
        <f>H776+H777+H781</f>
        <v>33654000</v>
      </c>
      <c r="I782" s="249">
        <f>D782*100/H782</f>
        <v>40.05600930052891</v>
      </c>
      <c r="J782" s="237"/>
    </row>
    <row r="783" spans="1:10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</row>
    <row r="784" spans="1:10" ht="12.75">
      <c r="A784" s="238" t="s">
        <v>241</v>
      </c>
      <c r="B784" s="238"/>
      <c r="C784" s="238"/>
      <c r="D784" s="285"/>
      <c r="E784" s="287"/>
      <c r="F784" s="237"/>
      <c r="G784" s="237"/>
      <c r="H784" s="237"/>
      <c r="I784" s="237"/>
      <c r="J784" s="237"/>
    </row>
    <row r="785" spans="1:10" ht="12.75">
      <c r="A785" s="285" t="s">
        <v>231</v>
      </c>
      <c r="B785" s="285"/>
      <c r="C785" s="285"/>
      <c r="D785" s="262"/>
      <c r="E785" s="262"/>
      <c r="F785" s="238" t="s">
        <v>245</v>
      </c>
      <c r="G785" s="237"/>
      <c r="H785" s="287"/>
      <c r="I785" s="277"/>
      <c r="J785" s="237"/>
    </row>
    <row r="786" spans="1:10" ht="22.5">
      <c r="A786" s="239" t="s">
        <v>0</v>
      </c>
      <c r="B786" s="239" t="s">
        <v>208</v>
      </c>
      <c r="C786" s="239" t="s">
        <v>1</v>
      </c>
      <c r="D786" s="239" t="s">
        <v>2</v>
      </c>
      <c r="E786" s="239" t="s">
        <v>3</v>
      </c>
      <c r="F786" s="239" t="s">
        <v>5</v>
      </c>
      <c r="G786" s="237"/>
      <c r="H786" s="286"/>
      <c r="I786" s="286"/>
      <c r="J786" s="237"/>
    </row>
    <row r="787" spans="1:10" ht="12.75">
      <c r="A787" s="244">
        <v>411111</v>
      </c>
      <c r="B787" s="246"/>
      <c r="C787" s="244" t="s">
        <v>8</v>
      </c>
      <c r="D787" s="246">
        <f>E787+F787</f>
        <v>8137679.47</v>
      </c>
      <c r="E787" s="246">
        <v>6931673.84</v>
      </c>
      <c r="F787" s="246">
        <v>1206005.63</v>
      </c>
      <c r="G787" s="237"/>
      <c r="H787" s="253"/>
      <c r="I787" s="253"/>
      <c r="J787" s="237"/>
    </row>
    <row r="788" spans="1:10" ht="12.75">
      <c r="A788" s="244">
        <v>411112</v>
      </c>
      <c r="B788" s="246"/>
      <c r="C788" s="244" t="s">
        <v>93</v>
      </c>
      <c r="D788" s="246">
        <f aca="true" t="shared" si="25" ref="D788:D810">E788+F788</f>
        <v>5828.1</v>
      </c>
      <c r="E788" s="246">
        <v>5828.1</v>
      </c>
      <c r="F788" s="246"/>
      <c r="G788" s="237"/>
      <c r="H788" s="253"/>
      <c r="I788" s="253"/>
      <c r="J788" s="237"/>
    </row>
    <row r="789" spans="1:10" ht="12.75">
      <c r="A789" s="244">
        <v>411113</v>
      </c>
      <c r="B789" s="246"/>
      <c r="C789" s="244" t="s">
        <v>9</v>
      </c>
      <c r="D789" s="246">
        <f t="shared" si="25"/>
        <v>24320.82</v>
      </c>
      <c r="E789" s="246">
        <v>24320.82</v>
      </c>
      <c r="F789" s="246"/>
      <c r="G789" s="237"/>
      <c r="H789" s="253"/>
      <c r="I789" s="253"/>
      <c r="J789" s="237"/>
    </row>
    <row r="790" spans="1:10" ht="12.75">
      <c r="A790" s="244">
        <v>411115</v>
      </c>
      <c r="B790" s="246"/>
      <c r="C790" s="244" t="s">
        <v>11</v>
      </c>
      <c r="D790" s="246">
        <f t="shared" si="25"/>
        <v>690044.16</v>
      </c>
      <c r="E790" s="246">
        <v>690044.16</v>
      </c>
      <c r="F790" s="246"/>
      <c r="G790" s="237"/>
      <c r="H790" s="253"/>
      <c r="I790" s="253"/>
      <c r="J790" s="237"/>
    </row>
    <row r="791" spans="1:10" ht="12.75">
      <c r="A791" s="244">
        <v>411117</v>
      </c>
      <c r="B791" s="246"/>
      <c r="C791" s="244" t="s">
        <v>12</v>
      </c>
      <c r="D791" s="246">
        <f t="shared" si="25"/>
        <v>94815.53</v>
      </c>
      <c r="E791" s="246">
        <v>94815.53</v>
      </c>
      <c r="F791" s="246"/>
      <c r="G791" s="237"/>
      <c r="H791" s="253"/>
      <c r="I791" s="253"/>
      <c r="J791" s="237"/>
    </row>
    <row r="792" spans="1:10" ht="12.75">
      <c r="A792" s="247">
        <v>4111</v>
      </c>
      <c r="B792" s="263"/>
      <c r="C792" s="247" t="s">
        <v>92</v>
      </c>
      <c r="D792" s="249">
        <f t="shared" si="25"/>
        <v>8952688.08</v>
      </c>
      <c r="E792" s="249">
        <f>SUM(E787:E791)</f>
        <v>7746682.45</v>
      </c>
      <c r="F792" s="249">
        <f>SUM(F787:F791)</f>
        <v>1206005.63</v>
      </c>
      <c r="G792" s="237"/>
      <c r="H792" s="287"/>
      <c r="I792" s="287"/>
      <c r="J792" s="237"/>
    </row>
    <row r="793" spans="1:10" ht="12.75">
      <c r="A793" s="244">
        <v>412111</v>
      </c>
      <c r="B793" s="246"/>
      <c r="C793" s="244" t="s">
        <v>13</v>
      </c>
      <c r="D793" s="246">
        <f t="shared" si="25"/>
        <v>986693.52</v>
      </c>
      <c r="E793" s="246">
        <v>852461.92</v>
      </c>
      <c r="F793" s="246">
        <v>134231.6</v>
      </c>
      <c r="G793" s="237"/>
      <c r="H793" s="253"/>
      <c r="I793" s="253"/>
      <c r="J793" s="237"/>
    </row>
    <row r="794" spans="1:10" ht="12.75">
      <c r="A794" s="247">
        <v>4121</v>
      </c>
      <c r="B794" s="263"/>
      <c r="C794" s="264" t="s">
        <v>94</v>
      </c>
      <c r="D794" s="249">
        <f t="shared" si="25"/>
        <v>986693.52</v>
      </c>
      <c r="E794" s="249">
        <f>SUM(E793)</f>
        <v>852461.92</v>
      </c>
      <c r="F794" s="249">
        <f>SUM(F793)</f>
        <v>134231.6</v>
      </c>
      <c r="G794" s="237"/>
      <c r="H794" s="287"/>
      <c r="I794" s="287"/>
      <c r="J794" s="237"/>
    </row>
    <row r="795" spans="1:10" ht="12.75">
      <c r="A795" s="244">
        <v>412211</v>
      </c>
      <c r="B795" s="246"/>
      <c r="C795" s="244" t="s">
        <v>14</v>
      </c>
      <c r="D795" s="246">
        <f t="shared" si="25"/>
        <v>551651.38</v>
      </c>
      <c r="E795" s="246">
        <v>476603.72</v>
      </c>
      <c r="F795" s="246">
        <v>75047.66</v>
      </c>
      <c r="G795" s="237"/>
      <c r="H795" s="253"/>
      <c r="I795" s="253"/>
      <c r="J795" s="237"/>
    </row>
    <row r="796" spans="1:10" ht="12.75">
      <c r="A796" s="247">
        <v>4122</v>
      </c>
      <c r="B796" s="263"/>
      <c r="C796" s="247" t="s">
        <v>14</v>
      </c>
      <c r="D796" s="249">
        <f t="shared" si="25"/>
        <v>551651.38</v>
      </c>
      <c r="E796" s="249">
        <f>SUM(E795)</f>
        <v>476603.72</v>
      </c>
      <c r="F796" s="249">
        <f>SUM(F795)</f>
        <v>75047.66</v>
      </c>
      <c r="G796" s="237"/>
      <c r="H796" s="287"/>
      <c r="I796" s="287"/>
      <c r="J796" s="237"/>
    </row>
    <row r="797" spans="1:10" ht="12.75">
      <c r="A797" s="244">
        <v>412311</v>
      </c>
      <c r="B797" s="246"/>
      <c r="C797" s="244" t="s">
        <v>95</v>
      </c>
      <c r="D797" s="246">
        <f t="shared" si="25"/>
        <v>67274.55</v>
      </c>
      <c r="E797" s="246">
        <v>58122.4</v>
      </c>
      <c r="F797" s="246">
        <v>9152.15</v>
      </c>
      <c r="G797" s="237"/>
      <c r="H797" s="253"/>
      <c r="I797" s="253"/>
      <c r="J797" s="237"/>
    </row>
    <row r="798" spans="1:10" ht="12.75">
      <c r="A798" s="247">
        <v>4123</v>
      </c>
      <c r="B798" s="263"/>
      <c r="C798" s="247" t="s">
        <v>96</v>
      </c>
      <c r="D798" s="249">
        <f t="shared" si="25"/>
        <v>67274.55</v>
      </c>
      <c r="E798" s="249">
        <f>SUM(E797)</f>
        <v>58122.4</v>
      </c>
      <c r="F798" s="249">
        <f>SUM(F797)</f>
        <v>9152.15</v>
      </c>
      <c r="G798" s="237"/>
      <c r="H798" s="287"/>
      <c r="I798" s="287"/>
      <c r="J798" s="237"/>
    </row>
    <row r="799" spans="1:10" ht="12.75">
      <c r="A799" s="264"/>
      <c r="B799" s="249">
        <f>D799*100/D810</f>
        <v>94.96373024073182</v>
      </c>
      <c r="C799" s="264" t="s">
        <v>174</v>
      </c>
      <c r="D799" s="249">
        <f t="shared" si="25"/>
        <v>10558307.530000001</v>
      </c>
      <c r="E799" s="249">
        <f>E792+E794+E796+E798</f>
        <v>9133870.490000002</v>
      </c>
      <c r="F799" s="249">
        <f>F792+F794+F796+F798</f>
        <v>1424437.0399999998</v>
      </c>
      <c r="G799" s="237"/>
      <c r="H799" s="287"/>
      <c r="I799" s="287"/>
      <c r="J799" s="237"/>
    </row>
    <row r="800" spans="1:10" ht="12.75">
      <c r="A800" s="244">
        <v>415112</v>
      </c>
      <c r="B800" s="246"/>
      <c r="C800" s="244" t="s">
        <v>21</v>
      </c>
      <c r="D800" s="246">
        <f t="shared" si="25"/>
        <v>94533.54</v>
      </c>
      <c r="E800" s="246">
        <v>94533.54</v>
      </c>
      <c r="F800" s="246"/>
      <c r="G800" s="237"/>
      <c r="H800" s="253"/>
      <c r="I800" s="253"/>
      <c r="J800" s="237"/>
    </row>
    <row r="801" spans="1:10" ht="12.75">
      <c r="A801" s="247">
        <v>4131</v>
      </c>
      <c r="B801" s="263">
        <f>D801*100/D810</f>
        <v>0.8502553620221582</v>
      </c>
      <c r="C801" s="247" t="s">
        <v>178</v>
      </c>
      <c r="D801" s="249">
        <f t="shared" si="25"/>
        <v>94533.54</v>
      </c>
      <c r="E801" s="249">
        <f>SUM(E800)</f>
        <v>94533.54</v>
      </c>
      <c r="F801" s="249"/>
      <c r="G801" s="237"/>
      <c r="H801" s="287"/>
      <c r="I801" s="287"/>
      <c r="J801" s="237"/>
    </row>
    <row r="802" spans="1:10" ht="12.75">
      <c r="A802" s="247"/>
      <c r="B802" s="263">
        <f>D802*100/D810</f>
        <v>2.9217014389634226</v>
      </c>
      <c r="C802" s="247" t="s">
        <v>179</v>
      </c>
      <c r="D802" s="249">
        <f t="shared" si="25"/>
        <v>324842.15</v>
      </c>
      <c r="E802" s="249">
        <f>E803+E804+E805+E806+E807</f>
        <v>0</v>
      </c>
      <c r="F802" s="249">
        <f>F803+F804+F805+F806+F807</f>
        <v>324842.15</v>
      </c>
      <c r="G802" s="237"/>
      <c r="H802" s="287"/>
      <c r="I802" s="287"/>
      <c r="J802" s="237"/>
    </row>
    <row r="803" spans="1:10" ht="12.75">
      <c r="A803" s="244">
        <v>414311</v>
      </c>
      <c r="B803" s="246"/>
      <c r="C803" s="244" t="s">
        <v>19</v>
      </c>
      <c r="D803" s="246">
        <f t="shared" si="25"/>
        <v>163848</v>
      </c>
      <c r="E803" s="246"/>
      <c r="F803" s="246">
        <v>163848</v>
      </c>
      <c r="G803" s="237"/>
      <c r="H803" s="253"/>
      <c r="I803" s="253"/>
      <c r="J803" s="237"/>
    </row>
    <row r="804" spans="1:10" ht="12.75">
      <c r="A804" s="244">
        <v>414314</v>
      </c>
      <c r="B804" s="246"/>
      <c r="C804" s="244" t="s">
        <v>20</v>
      </c>
      <c r="D804" s="246">
        <f t="shared" si="25"/>
        <v>45594</v>
      </c>
      <c r="E804" s="246"/>
      <c r="F804" s="246">
        <v>45594</v>
      </c>
      <c r="G804" s="237"/>
      <c r="H804" s="253"/>
      <c r="I804" s="253"/>
      <c r="J804" s="237"/>
    </row>
    <row r="805" spans="1:10" ht="12.75">
      <c r="A805" s="244">
        <v>422121</v>
      </c>
      <c r="B805" s="246"/>
      <c r="C805" s="244" t="s">
        <v>242</v>
      </c>
      <c r="D805" s="246">
        <f t="shared" si="25"/>
        <v>2200</v>
      </c>
      <c r="E805" s="246"/>
      <c r="F805" s="246">
        <v>2200</v>
      </c>
      <c r="G805" s="237"/>
      <c r="H805" s="253"/>
      <c r="I805" s="253"/>
      <c r="J805" s="237"/>
    </row>
    <row r="806" spans="1:10" ht="12.75">
      <c r="A806" s="244">
        <v>4233910</v>
      </c>
      <c r="B806" s="246"/>
      <c r="C806" s="244" t="s">
        <v>130</v>
      </c>
      <c r="D806" s="246">
        <f t="shared" si="25"/>
        <v>7162.15</v>
      </c>
      <c r="E806" s="246"/>
      <c r="F806" s="246">
        <v>7162.15</v>
      </c>
      <c r="G806" s="237"/>
      <c r="H806" s="253"/>
      <c r="I806" s="253"/>
      <c r="J806" s="237"/>
    </row>
    <row r="807" spans="1:10" ht="12.75">
      <c r="A807" s="244">
        <v>425251</v>
      </c>
      <c r="B807" s="246"/>
      <c r="C807" s="244" t="s">
        <v>59</v>
      </c>
      <c r="D807" s="246">
        <f t="shared" si="25"/>
        <v>106038</v>
      </c>
      <c r="E807" s="246"/>
      <c r="F807" s="246">
        <v>106038</v>
      </c>
      <c r="G807" s="237"/>
      <c r="H807" s="253"/>
      <c r="I807" s="253"/>
      <c r="J807" s="237"/>
    </row>
    <row r="808" spans="1:10" ht="12.75">
      <c r="A808" s="264"/>
      <c r="B808" s="249">
        <f>D808*100/D810</f>
        <v>1.2643129582826096</v>
      </c>
      <c r="C808" s="264" t="s">
        <v>182</v>
      </c>
      <c r="D808" s="249">
        <f t="shared" si="25"/>
        <v>140569.51</v>
      </c>
      <c r="E808" s="249">
        <f>E809</f>
        <v>0</v>
      </c>
      <c r="F808" s="249">
        <f>F809</f>
        <v>140569.51</v>
      </c>
      <c r="G808" s="237"/>
      <c r="H808" s="287"/>
      <c r="I808" s="287"/>
      <c r="J808" s="237"/>
    </row>
    <row r="809" spans="1:10" ht="12.75">
      <c r="A809" s="244">
        <v>4267113</v>
      </c>
      <c r="B809" s="246"/>
      <c r="C809" s="244" t="s">
        <v>72</v>
      </c>
      <c r="D809" s="246">
        <f t="shared" si="25"/>
        <v>140569.51</v>
      </c>
      <c r="E809" s="246"/>
      <c r="F809" s="246">
        <v>140569.51</v>
      </c>
      <c r="G809" s="237"/>
      <c r="H809" s="253"/>
      <c r="I809" s="253"/>
      <c r="J809" s="237"/>
    </row>
    <row r="810" spans="1:10" ht="12.75">
      <c r="A810" s="264"/>
      <c r="B810" s="249">
        <v>100</v>
      </c>
      <c r="C810" s="264" t="s">
        <v>243</v>
      </c>
      <c r="D810" s="249">
        <f t="shared" si="25"/>
        <v>11118252.73</v>
      </c>
      <c r="E810" s="249">
        <f>E799+E801+E802+E808</f>
        <v>9228404.030000001</v>
      </c>
      <c r="F810" s="249">
        <f>F799+F801+F802+F808</f>
        <v>1889848.7</v>
      </c>
      <c r="G810" s="237"/>
      <c r="H810" s="287"/>
      <c r="I810" s="287"/>
      <c r="J810" s="237"/>
    </row>
    <row r="811" spans="1:10" ht="12.75">
      <c r="A811" s="237"/>
      <c r="B811" s="237"/>
      <c r="C811" s="264" t="s">
        <v>244</v>
      </c>
      <c r="D811" s="249">
        <v>33654000</v>
      </c>
      <c r="E811" s="249">
        <f>29034000</f>
        <v>29034000</v>
      </c>
      <c r="F811" s="249">
        <f>D811-E811</f>
        <v>4620000</v>
      </c>
      <c r="G811" s="237"/>
      <c r="H811" s="253"/>
      <c r="I811" s="253"/>
      <c r="J811" s="237"/>
    </row>
    <row r="812" spans="1:10" ht="12.75">
      <c r="A812" s="237"/>
      <c r="B812" s="237"/>
      <c r="C812" s="264" t="s">
        <v>170</v>
      </c>
      <c r="D812" s="249">
        <f>D810*100/D811</f>
        <v>33.036942800261485</v>
      </c>
      <c r="E812" s="249">
        <f>E810*100/E811</f>
        <v>31.78481790314804</v>
      </c>
      <c r="F812" s="249">
        <f>F810*100/F811</f>
        <v>40.90581601731602</v>
      </c>
      <c r="G812" s="237"/>
      <c r="H812" s="237"/>
      <c r="I812" s="237"/>
      <c r="J812" s="237"/>
    </row>
    <row r="814" spans="1:10" ht="13.5" thickBot="1">
      <c r="A814" s="346" t="s">
        <v>270</v>
      </c>
      <c r="B814" s="346"/>
      <c r="C814" s="346"/>
      <c r="D814" s="346"/>
      <c r="E814" s="347"/>
      <c r="F814" s="347"/>
      <c r="G814" s="347"/>
      <c r="H814" s="348"/>
      <c r="I814" s="348"/>
      <c r="J814" s="346" t="s">
        <v>250</v>
      </c>
    </row>
    <row r="815" spans="1:11" ht="45.75" thickBot="1">
      <c r="A815" s="349" t="s">
        <v>0</v>
      </c>
      <c r="B815" s="350" t="s">
        <v>208</v>
      </c>
      <c r="C815" s="350" t="s">
        <v>1</v>
      </c>
      <c r="D815" s="350" t="s">
        <v>247</v>
      </c>
      <c r="E815" s="350" t="s">
        <v>248</v>
      </c>
      <c r="F815" s="351" t="s">
        <v>254</v>
      </c>
      <c r="G815" s="350" t="s">
        <v>253</v>
      </c>
      <c r="H815" s="350" t="s">
        <v>261</v>
      </c>
      <c r="I815" s="350" t="s">
        <v>201</v>
      </c>
      <c r="J815" s="350" t="s">
        <v>249</v>
      </c>
      <c r="K815" s="55"/>
    </row>
    <row r="816" spans="1:11" ht="12.75">
      <c r="A816" s="352">
        <v>411111</v>
      </c>
      <c r="B816" s="353"/>
      <c r="C816" s="352" t="s">
        <v>8</v>
      </c>
      <c r="D816" s="354">
        <v>70678290.52</v>
      </c>
      <c r="E816" s="354"/>
      <c r="F816" s="354"/>
      <c r="G816" s="354"/>
      <c r="H816" s="354"/>
      <c r="I816" s="355"/>
      <c r="J816" s="353"/>
      <c r="K816" s="92"/>
    </row>
    <row r="817" spans="1:11" ht="12.75">
      <c r="A817" s="356">
        <v>411112</v>
      </c>
      <c r="B817" s="353"/>
      <c r="C817" s="356" t="s">
        <v>93</v>
      </c>
      <c r="D817" s="357">
        <v>701310.26</v>
      </c>
      <c r="E817" s="357"/>
      <c r="F817" s="357"/>
      <c r="G817" s="357">
        <f>16.6*0.8</f>
        <v>13.280000000000001</v>
      </c>
      <c r="H817" s="357"/>
      <c r="I817" s="358"/>
      <c r="J817" s="359"/>
      <c r="K817" s="92"/>
    </row>
    <row r="818" spans="1:11" ht="12.75">
      <c r="A818" s="356">
        <v>411113</v>
      </c>
      <c r="B818" s="353"/>
      <c r="C818" s="356" t="s">
        <v>9</v>
      </c>
      <c r="D818" s="357">
        <v>320610.99</v>
      </c>
      <c r="E818" s="357"/>
      <c r="F818" s="357"/>
      <c r="G818" s="357"/>
      <c r="H818" s="357"/>
      <c r="I818" s="358"/>
      <c r="J818" s="359"/>
      <c r="K818" s="92"/>
    </row>
    <row r="819" spans="1:11" ht="12.75">
      <c r="A819" s="356">
        <v>411114</v>
      </c>
      <c r="B819" s="353"/>
      <c r="C819" s="356" t="s">
        <v>10</v>
      </c>
      <c r="D819" s="357">
        <v>435473.33</v>
      </c>
      <c r="E819" s="357"/>
      <c r="F819" s="357"/>
      <c r="G819" s="357"/>
      <c r="H819" s="357"/>
      <c r="I819" s="358"/>
      <c r="J819" s="359"/>
      <c r="K819" s="92"/>
    </row>
    <row r="820" spans="1:11" ht="12.75">
      <c r="A820" s="356">
        <v>411115</v>
      </c>
      <c r="B820" s="353"/>
      <c r="C820" s="356" t="s">
        <v>11</v>
      </c>
      <c r="D820" s="357">
        <v>4736398.51</v>
      </c>
      <c r="E820" s="357"/>
      <c r="F820" s="357"/>
      <c r="G820" s="357"/>
      <c r="H820" s="357"/>
      <c r="I820" s="358"/>
      <c r="J820" s="359"/>
      <c r="K820" s="92"/>
    </row>
    <row r="821" spans="1:11" ht="12.75">
      <c r="A821" s="356">
        <v>411117</v>
      </c>
      <c r="B821" s="353"/>
      <c r="C821" s="356" t="s">
        <v>12</v>
      </c>
      <c r="D821" s="357">
        <v>1012899.65</v>
      </c>
      <c r="E821" s="357"/>
      <c r="F821" s="357"/>
      <c r="G821" s="357"/>
      <c r="H821" s="357"/>
      <c r="I821" s="358"/>
      <c r="J821" s="359"/>
      <c r="K821" s="92"/>
    </row>
    <row r="822" spans="1:11" ht="12.75">
      <c r="A822" s="102">
        <v>4111</v>
      </c>
      <c r="B822" s="353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60"/>
      <c r="J822" s="361"/>
      <c r="K822" s="120"/>
    </row>
    <row r="823" spans="1:11" ht="12.75">
      <c r="A823" s="356">
        <v>412111</v>
      </c>
      <c r="B823" s="353"/>
      <c r="C823" s="356" t="s">
        <v>13</v>
      </c>
      <c r="D823" s="357">
        <v>8589604.95</v>
      </c>
      <c r="E823" s="357"/>
      <c r="F823" s="357"/>
      <c r="G823" s="357"/>
      <c r="H823" s="357"/>
      <c r="I823" s="358"/>
      <c r="J823" s="359"/>
      <c r="K823" s="92"/>
    </row>
    <row r="824" spans="1:11" ht="12.75">
      <c r="A824" s="356">
        <v>412113</v>
      </c>
      <c r="B824" s="353"/>
      <c r="C824" s="356" t="s">
        <v>129</v>
      </c>
      <c r="D824" s="357">
        <v>416742.75</v>
      </c>
      <c r="E824" s="357"/>
      <c r="F824" s="357"/>
      <c r="G824" s="357"/>
      <c r="H824" s="357"/>
      <c r="I824" s="358"/>
      <c r="J824" s="359"/>
      <c r="K824" s="92"/>
    </row>
    <row r="825" spans="1:11" ht="12.75">
      <c r="A825" s="102">
        <v>4121</v>
      </c>
      <c r="B825" s="353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60"/>
      <c r="J825" s="359"/>
      <c r="K825" s="122"/>
    </row>
    <row r="826" spans="1:11" ht="12.75">
      <c r="A826" s="356">
        <v>412211</v>
      </c>
      <c r="B826" s="353"/>
      <c r="C826" s="356" t="s">
        <v>14</v>
      </c>
      <c r="D826" s="357">
        <v>4802370.03</v>
      </c>
      <c r="E826" s="357"/>
      <c r="F826" s="357"/>
      <c r="G826" s="357"/>
      <c r="H826" s="357"/>
      <c r="I826" s="358"/>
      <c r="J826" s="359"/>
      <c r="K826" s="122"/>
    </row>
    <row r="827" spans="1:11" ht="12.75">
      <c r="A827" s="102">
        <v>4122</v>
      </c>
      <c r="B827" s="353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60"/>
      <c r="J827" s="359"/>
      <c r="K827" s="122"/>
    </row>
    <row r="828" spans="1:11" ht="12.75">
      <c r="A828" s="356">
        <v>412311</v>
      </c>
      <c r="B828" s="353"/>
      <c r="C828" s="356" t="s">
        <v>95</v>
      </c>
      <c r="D828" s="357">
        <v>585654.88</v>
      </c>
      <c r="E828" s="357"/>
      <c r="F828" s="357"/>
      <c r="G828" s="357"/>
      <c r="H828" s="357"/>
      <c r="I828" s="358"/>
      <c r="J828" s="359"/>
      <c r="K828" s="122"/>
    </row>
    <row r="829" spans="1:11" ht="12.75">
      <c r="A829" s="102">
        <v>4123</v>
      </c>
      <c r="B829" s="353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60"/>
      <c r="J829" s="359"/>
      <c r="K829" s="122"/>
    </row>
    <row r="830" spans="1:11" ht="12.75">
      <c r="A830" s="102"/>
      <c r="B830" s="362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60">
        <v>220216425</v>
      </c>
      <c r="J830" s="361">
        <f>216220000+7500000</f>
        <v>223720000</v>
      </c>
      <c r="K830" s="125"/>
    </row>
    <row r="831" spans="1:11" ht="12.75">
      <c r="A831" s="356">
        <v>413151</v>
      </c>
      <c r="B831" s="353"/>
      <c r="C831" s="356" t="s">
        <v>15</v>
      </c>
      <c r="D831" s="357">
        <v>34400</v>
      </c>
      <c r="E831" s="357"/>
      <c r="F831" s="357"/>
      <c r="G831" s="357"/>
      <c r="H831" s="357"/>
      <c r="I831" s="358"/>
      <c r="J831" s="359"/>
      <c r="K831" s="122"/>
    </row>
    <row r="832" spans="1:11" ht="12.75">
      <c r="A832" s="356">
        <v>415112</v>
      </c>
      <c r="B832" s="353"/>
      <c r="C832" s="356" t="s">
        <v>21</v>
      </c>
      <c r="D832" s="357">
        <v>1943711.77</v>
      </c>
      <c r="E832" s="357"/>
      <c r="F832" s="357"/>
      <c r="G832" s="357"/>
      <c r="H832" s="357"/>
      <c r="I832" s="358"/>
      <c r="J832" s="359"/>
      <c r="K832" s="122"/>
    </row>
    <row r="833" spans="1:11" ht="12.75">
      <c r="A833" s="102">
        <v>4131</v>
      </c>
      <c r="B833" s="362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60">
        <v>4362300</v>
      </c>
      <c r="J833" s="103">
        <v>4380000</v>
      </c>
      <c r="K833" s="113"/>
    </row>
    <row r="834" spans="1:11" ht="12.75">
      <c r="A834" s="356">
        <v>414111</v>
      </c>
      <c r="B834" s="353"/>
      <c r="C834" s="356" t="s">
        <v>16</v>
      </c>
      <c r="D834" s="357">
        <v>1287876.63</v>
      </c>
      <c r="E834" s="357"/>
      <c r="F834" s="357"/>
      <c r="G834" s="357"/>
      <c r="H834" s="357"/>
      <c r="I834" s="358"/>
      <c r="J834" s="359"/>
      <c r="K834" s="122"/>
    </row>
    <row r="835" spans="1:11" ht="12.75">
      <c r="A835" s="356">
        <v>414121</v>
      </c>
      <c r="B835" s="353"/>
      <c r="C835" s="356" t="s">
        <v>17</v>
      </c>
      <c r="D835" s="357">
        <v>147394</v>
      </c>
      <c r="E835" s="357"/>
      <c r="F835" s="357"/>
      <c r="G835" s="357">
        <f>J838-D838-E838-F838</f>
        <v>9027466.889999999</v>
      </c>
      <c r="H835" s="357"/>
      <c r="I835" s="358"/>
      <c r="J835" s="359"/>
      <c r="K835" s="122"/>
    </row>
    <row r="836" spans="1:11" ht="12.75">
      <c r="A836" s="356">
        <v>414131</v>
      </c>
      <c r="B836" s="353"/>
      <c r="C836" s="356" t="s">
        <v>18</v>
      </c>
      <c r="D836" s="357">
        <v>62203.1</v>
      </c>
      <c r="E836" s="357"/>
      <c r="F836" s="357"/>
      <c r="G836" s="357">
        <f>G835-G838</f>
        <v>143466.88999999873</v>
      </c>
      <c r="H836" s="357"/>
      <c r="I836" s="358"/>
      <c r="J836" s="359"/>
      <c r="K836" s="122"/>
    </row>
    <row r="837" spans="1:11" ht="12.75">
      <c r="A837" s="102">
        <v>4141</v>
      </c>
      <c r="B837" s="362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60"/>
      <c r="J837" s="361">
        <v>3000000</v>
      </c>
      <c r="K837" s="122"/>
    </row>
    <row r="838" spans="1:11" ht="12.75">
      <c r="A838" s="102"/>
      <c r="B838" s="362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60">
        <v>15222000</v>
      </c>
      <c r="J838" s="103">
        <f>12934000+3956000</f>
        <v>16890000</v>
      </c>
      <c r="K838" s="113"/>
    </row>
    <row r="839" spans="1:11" ht="12.75">
      <c r="A839" s="356">
        <v>414311</v>
      </c>
      <c r="B839" s="353"/>
      <c r="C839" s="356" t="s">
        <v>19</v>
      </c>
      <c r="D839" s="357">
        <v>329847</v>
      </c>
      <c r="E839" s="357"/>
      <c r="F839" s="357"/>
      <c r="G839" s="357">
        <f>5*160000</f>
        <v>800000</v>
      </c>
      <c r="H839" s="357">
        <f>SUM(D839:G839)</f>
        <v>1129847</v>
      </c>
      <c r="I839" s="358"/>
      <c r="J839" s="363">
        <v>1100000</v>
      </c>
      <c r="K839" s="136"/>
    </row>
    <row r="840" spans="1:11" ht="12.75">
      <c r="A840" s="356">
        <v>414314</v>
      </c>
      <c r="B840" s="353"/>
      <c r="C840" s="356" t="s">
        <v>20</v>
      </c>
      <c r="D840" s="357">
        <v>136782</v>
      </c>
      <c r="E840" s="357"/>
      <c r="F840" s="357"/>
      <c r="G840" s="357">
        <f>150000</f>
        <v>150000</v>
      </c>
      <c r="H840" s="357">
        <f aca="true" t="shared" si="26" ref="H840:H852">SUM(D840:G840)</f>
        <v>286782</v>
      </c>
      <c r="I840" s="358"/>
      <c r="J840" s="363">
        <v>250000</v>
      </c>
      <c r="K840" s="136"/>
    </row>
    <row r="841" spans="1:11" ht="12.75">
      <c r="A841" s="102">
        <v>4143</v>
      </c>
      <c r="B841" s="353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64">
        <f t="shared" si="26"/>
        <v>1416629</v>
      </c>
      <c r="I841" s="360">
        <f>SUM(I839:I840)</f>
        <v>0</v>
      </c>
      <c r="J841" s="361">
        <f>SUM(J839:J840)</f>
        <v>1350000</v>
      </c>
      <c r="K841" s="144"/>
    </row>
    <row r="842" spans="1:11" ht="12.75">
      <c r="A842" s="356">
        <v>421111</v>
      </c>
      <c r="B842" s="353"/>
      <c r="C842" s="356" t="s">
        <v>22</v>
      </c>
      <c r="D842" s="357">
        <v>329191.55</v>
      </c>
      <c r="E842" s="357"/>
      <c r="F842" s="357"/>
      <c r="G842" s="357"/>
      <c r="H842" s="357">
        <f t="shared" si="26"/>
        <v>329191.55</v>
      </c>
      <c r="I842" s="358"/>
      <c r="J842" s="359"/>
      <c r="K842" s="144"/>
    </row>
    <row r="843" spans="1:11" ht="12.75">
      <c r="A843" s="102">
        <v>4211</v>
      </c>
      <c r="B843" s="353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64">
        <f t="shared" si="26"/>
        <v>829191.55</v>
      </c>
      <c r="I843" s="365">
        <v>400000</v>
      </c>
      <c r="J843" s="361">
        <v>800000</v>
      </c>
      <c r="K843" s="144"/>
    </row>
    <row r="844" spans="1:11" ht="12.75">
      <c r="A844" s="356">
        <v>421311</v>
      </c>
      <c r="B844" s="353"/>
      <c r="C844" s="356" t="s">
        <v>25</v>
      </c>
      <c r="D844" s="357">
        <v>402958.32</v>
      </c>
      <c r="E844" s="357">
        <f>148465.47+140769.77</f>
        <v>289235.24</v>
      </c>
      <c r="F844" s="357"/>
      <c r="G844" s="357"/>
      <c r="H844" s="357">
        <f t="shared" si="26"/>
        <v>692193.56</v>
      </c>
      <c r="I844" s="358">
        <v>750000</v>
      </c>
      <c r="J844" s="359"/>
      <c r="K844" s="144"/>
    </row>
    <row r="845" spans="1:11" ht="12.75">
      <c r="A845" s="356">
        <v>421324</v>
      </c>
      <c r="B845" s="353"/>
      <c r="C845" s="356" t="s">
        <v>26</v>
      </c>
      <c r="D845" s="357">
        <v>223094.73</v>
      </c>
      <c r="E845" s="357">
        <f>78930.34+22592.84</f>
        <v>101523.18</v>
      </c>
      <c r="F845" s="357"/>
      <c r="G845" s="357"/>
      <c r="H845" s="357">
        <f t="shared" si="26"/>
        <v>324617.91000000003</v>
      </c>
      <c r="I845" s="358">
        <v>400000</v>
      </c>
      <c r="J845" s="359"/>
      <c r="K845" s="144"/>
    </row>
    <row r="846" spans="1:11" ht="12.75">
      <c r="A846" s="102">
        <v>4213</v>
      </c>
      <c r="B846" s="353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64">
        <v>2000000</v>
      </c>
      <c r="H846" s="364">
        <f t="shared" si="26"/>
        <v>3016811.4699999997</v>
      </c>
      <c r="I846" s="365">
        <f>SUM(I844:I845)</f>
        <v>1150000</v>
      </c>
      <c r="J846" s="361">
        <v>2000000</v>
      </c>
      <c r="K846" s="144"/>
    </row>
    <row r="847" spans="1:11" ht="12.75">
      <c r="A847" s="356">
        <v>421411</v>
      </c>
      <c r="B847" s="353"/>
      <c r="C847" s="356" t="s">
        <v>27</v>
      </c>
      <c r="D847" s="357">
        <v>34715.6</v>
      </c>
      <c r="E847" s="357"/>
      <c r="F847" s="357"/>
      <c r="G847" s="357"/>
      <c r="H847" s="357">
        <f t="shared" si="26"/>
        <v>34715.6</v>
      </c>
      <c r="I847" s="358"/>
      <c r="J847" s="359"/>
      <c r="K847" s="144"/>
    </row>
    <row r="848" spans="1:11" ht="12.75">
      <c r="A848" s="356">
        <v>421412</v>
      </c>
      <c r="B848" s="353"/>
      <c r="C848" s="356" t="s">
        <v>28</v>
      </c>
      <c r="D848" s="357">
        <v>11800</v>
      </c>
      <c r="E848" s="357"/>
      <c r="F848" s="357"/>
      <c r="G848" s="357"/>
      <c r="H848" s="357">
        <f t="shared" si="26"/>
        <v>11800</v>
      </c>
      <c r="I848" s="358"/>
      <c r="J848" s="359"/>
      <c r="K848" s="144"/>
    </row>
    <row r="849" spans="1:11" ht="12.75">
      <c r="A849" s="356">
        <v>421414</v>
      </c>
      <c r="B849" s="353"/>
      <c r="C849" s="356" t="s">
        <v>29</v>
      </c>
      <c r="D849" s="357">
        <v>14139.92</v>
      </c>
      <c r="E849" s="357"/>
      <c r="F849" s="357"/>
      <c r="G849" s="357"/>
      <c r="H849" s="357">
        <f t="shared" si="26"/>
        <v>14139.92</v>
      </c>
      <c r="I849" s="358"/>
      <c r="J849" s="359"/>
      <c r="K849" s="144"/>
    </row>
    <row r="850" spans="1:11" ht="12.75">
      <c r="A850" s="356">
        <v>421421</v>
      </c>
      <c r="B850" s="353"/>
      <c r="C850" s="356" t="s">
        <v>224</v>
      </c>
      <c r="D850" s="357">
        <v>8000</v>
      </c>
      <c r="E850" s="357"/>
      <c r="F850" s="357"/>
      <c r="G850" s="357"/>
      <c r="H850" s="357">
        <f t="shared" si="26"/>
        <v>8000</v>
      </c>
      <c r="I850" s="358"/>
      <c r="J850" s="359"/>
      <c r="K850" s="144"/>
    </row>
    <row r="851" spans="1:11" ht="12.75">
      <c r="A851" s="356">
        <v>421422</v>
      </c>
      <c r="B851" s="353"/>
      <c r="C851" s="356" t="s">
        <v>31</v>
      </c>
      <c r="D851" s="357">
        <v>44345</v>
      </c>
      <c r="E851" s="357"/>
      <c r="F851" s="357"/>
      <c r="G851" s="357"/>
      <c r="H851" s="357">
        <f t="shared" si="26"/>
        <v>44345</v>
      </c>
      <c r="I851" s="358"/>
      <c r="J851" s="359"/>
      <c r="K851" s="144"/>
    </row>
    <row r="852" spans="1:11" ht="12.75">
      <c r="A852" s="102">
        <v>4214</v>
      </c>
      <c r="B852" s="353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66"/>
      <c r="G852" s="364">
        <v>300000</v>
      </c>
      <c r="H852" s="364">
        <f t="shared" si="26"/>
        <v>640424.88</v>
      </c>
      <c r="I852" s="365">
        <v>600000</v>
      </c>
      <c r="J852" s="361">
        <v>600000</v>
      </c>
      <c r="K852" s="144"/>
    </row>
    <row r="853" spans="1:11" ht="12.75">
      <c r="A853" s="367"/>
      <c r="B853" s="367"/>
      <c r="C853" s="367"/>
      <c r="D853" s="368"/>
      <c r="E853" s="368"/>
      <c r="F853" s="368"/>
      <c r="G853" s="368"/>
      <c r="H853" s="368"/>
      <c r="I853" s="368"/>
      <c r="J853" s="369"/>
      <c r="K853" s="92"/>
    </row>
    <row r="854" spans="1:11" ht="12.75">
      <c r="A854" s="367"/>
      <c r="B854" s="367"/>
      <c r="C854" s="367"/>
      <c r="D854" s="368"/>
      <c r="E854" s="368"/>
      <c r="F854" s="368"/>
      <c r="G854" s="368"/>
      <c r="H854" s="368"/>
      <c r="I854" s="368"/>
      <c r="J854" s="369"/>
      <c r="K854" s="92"/>
    </row>
    <row r="855" spans="1:11" ht="12.75">
      <c r="A855" s="367"/>
      <c r="B855" s="367"/>
      <c r="C855" s="367"/>
      <c r="D855" s="368"/>
      <c r="E855" s="368"/>
      <c r="F855" s="368"/>
      <c r="G855" s="368"/>
      <c r="H855" s="368"/>
      <c r="I855" s="368"/>
      <c r="J855" s="369"/>
      <c r="K855" s="92"/>
    </row>
    <row r="856" spans="1:11" ht="12.75">
      <c r="A856" s="367"/>
      <c r="B856" s="367"/>
      <c r="C856" s="367"/>
      <c r="D856" s="368"/>
      <c r="E856" s="368"/>
      <c r="F856" s="368"/>
      <c r="G856" s="368"/>
      <c r="H856" s="368"/>
      <c r="I856" s="368"/>
      <c r="J856" s="369"/>
      <c r="K856" s="92"/>
    </row>
    <row r="857" spans="1:11" ht="12.75">
      <c r="A857" s="367"/>
      <c r="B857" s="367"/>
      <c r="C857" s="367"/>
      <c r="D857" s="368"/>
      <c r="E857" s="368"/>
      <c r="F857" s="368"/>
      <c r="G857" s="368"/>
      <c r="H857" s="368"/>
      <c r="I857" s="368"/>
      <c r="J857" s="369"/>
      <c r="K857" s="92"/>
    </row>
    <row r="858" spans="1:11" ht="12.75">
      <c r="A858" s="367"/>
      <c r="B858" s="367"/>
      <c r="C858" s="367"/>
      <c r="D858" s="368"/>
      <c r="E858" s="368"/>
      <c r="F858" s="368"/>
      <c r="G858" s="368"/>
      <c r="H858" s="368"/>
      <c r="I858" s="368"/>
      <c r="J858" s="369"/>
      <c r="K858" s="92"/>
    </row>
    <row r="859" spans="1:11" s="97" customFormat="1" ht="13.5" thickBot="1">
      <c r="A859" s="346" t="s">
        <v>270</v>
      </c>
      <c r="B859" s="346"/>
      <c r="C859" s="346"/>
      <c r="D859" s="346"/>
      <c r="E859" s="347"/>
      <c r="F859" s="347"/>
      <c r="G859" s="347"/>
      <c r="H859" s="348"/>
      <c r="I859" s="348"/>
      <c r="J859" s="346" t="s">
        <v>251</v>
      </c>
      <c r="K859" s="170"/>
    </row>
    <row r="860" spans="1:11" ht="45.75" thickBot="1">
      <c r="A860" s="349" t="s">
        <v>0</v>
      </c>
      <c r="B860" s="350" t="s">
        <v>208</v>
      </c>
      <c r="C860" s="350" t="s">
        <v>1</v>
      </c>
      <c r="D860" s="350" t="s">
        <v>247</v>
      </c>
      <c r="E860" s="350" t="s">
        <v>248</v>
      </c>
      <c r="F860" s="351" t="s">
        <v>254</v>
      </c>
      <c r="G860" s="350" t="s">
        <v>253</v>
      </c>
      <c r="H860" s="350" t="s">
        <v>261</v>
      </c>
      <c r="I860" s="350" t="s">
        <v>201</v>
      </c>
      <c r="J860" s="350" t="s">
        <v>249</v>
      </c>
      <c r="K860" s="144"/>
    </row>
    <row r="861" spans="1:11" ht="12.75">
      <c r="A861" s="356">
        <v>421513</v>
      </c>
      <c r="B861" s="352"/>
      <c r="C861" s="352" t="s">
        <v>33</v>
      </c>
      <c r="D861" s="354">
        <v>175635.68</v>
      </c>
      <c r="E861" s="354"/>
      <c r="F861" s="354"/>
      <c r="G861" s="354"/>
      <c r="H861" s="354"/>
      <c r="I861" s="354">
        <v>130000</v>
      </c>
      <c r="J861" s="353"/>
      <c r="K861" s="144"/>
    </row>
    <row r="862" spans="1:11" ht="12.75">
      <c r="A862" s="356">
        <v>421519</v>
      </c>
      <c r="B862" s="356"/>
      <c r="C862" s="356" t="s">
        <v>34</v>
      </c>
      <c r="D862" s="357">
        <v>458165.39</v>
      </c>
      <c r="E862" s="357"/>
      <c r="F862" s="357"/>
      <c r="G862" s="357"/>
      <c r="H862" s="357"/>
      <c r="I862" s="357">
        <v>1860000</v>
      </c>
      <c r="J862" s="359"/>
      <c r="K862" s="144"/>
    </row>
    <row r="863" spans="1:11" ht="12.75">
      <c r="A863" s="356">
        <v>421521</v>
      </c>
      <c r="B863" s="356"/>
      <c r="C863" s="356" t="s">
        <v>35</v>
      </c>
      <c r="D863" s="357">
        <v>36468</v>
      </c>
      <c r="E863" s="357"/>
      <c r="F863" s="357"/>
      <c r="G863" s="357"/>
      <c r="H863" s="357"/>
      <c r="I863" s="357">
        <v>220000</v>
      </c>
      <c r="J863" s="359"/>
      <c r="K863" s="144"/>
    </row>
    <row r="864" spans="1:11" ht="12.75">
      <c r="A864" s="102">
        <v>4215</v>
      </c>
      <c r="B864" s="363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61">
        <v>1600000</v>
      </c>
      <c r="K864" s="144"/>
    </row>
    <row r="865" spans="1:11" ht="12.75">
      <c r="A865" s="356">
        <v>422111</v>
      </c>
      <c r="B865" s="363"/>
      <c r="C865" s="356" t="s">
        <v>36</v>
      </c>
      <c r="D865" s="357">
        <v>42400</v>
      </c>
      <c r="E865" s="357"/>
      <c r="F865" s="357"/>
      <c r="G865" s="357"/>
      <c r="H865" s="357"/>
      <c r="I865" s="357"/>
      <c r="J865" s="359"/>
      <c r="K865" s="144"/>
    </row>
    <row r="866" spans="1:11" ht="12.75">
      <c r="A866" s="356">
        <v>422121</v>
      </c>
      <c r="B866" s="363"/>
      <c r="C866" s="356" t="s">
        <v>37</v>
      </c>
      <c r="D866" s="357">
        <v>29806.81</v>
      </c>
      <c r="E866" s="357"/>
      <c r="F866" s="357"/>
      <c r="G866" s="357"/>
      <c r="H866" s="357"/>
      <c r="I866" s="357"/>
      <c r="J866" s="359"/>
      <c r="K866" s="144"/>
    </row>
    <row r="867" spans="1:11" ht="12.75">
      <c r="A867" s="356">
        <v>422194</v>
      </c>
      <c r="B867" s="363"/>
      <c r="C867" s="356" t="s">
        <v>38</v>
      </c>
      <c r="D867" s="357">
        <v>0</v>
      </c>
      <c r="E867" s="357"/>
      <c r="F867" s="357"/>
      <c r="G867" s="357"/>
      <c r="H867" s="357"/>
      <c r="I867" s="357"/>
      <c r="J867" s="359"/>
      <c r="K867" s="144"/>
    </row>
    <row r="868" spans="1:11" ht="12.75">
      <c r="A868" s="356">
        <v>422199</v>
      </c>
      <c r="B868" s="363"/>
      <c r="C868" s="356" t="s">
        <v>39</v>
      </c>
      <c r="D868" s="357">
        <v>15600</v>
      </c>
      <c r="E868" s="357"/>
      <c r="F868" s="357"/>
      <c r="G868" s="357"/>
      <c r="H868" s="357"/>
      <c r="I868" s="357"/>
      <c r="J868" s="359"/>
      <c r="K868" s="144"/>
    </row>
    <row r="869" spans="1:11" ht="12.75">
      <c r="A869" s="102">
        <v>4221</v>
      </c>
      <c r="B869" s="363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61">
        <v>150000</v>
      </c>
      <c r="K869" s="144"/>
    </row>
    <row r="870" spans="1:11" ht="12.75">
      <c r="A870" s="356">
        <v>423291</v>
      </c>
      <c r="B870" s="363"/>
      <c r="C870" s="356" t="s">
        <v>40</v>
      </c>
      <c r="D870" s="357">
        <v>68748</v>
      </c>
      <c r="E870" s="357"/>
      <c r="F870" s="357"/>
      <c r="G870" s="357"/>
      <c r="H870" s="357"/>
      <c r="I870" s="357"/>
      <c r="J870" s="359"/>
      <c r="K870" s="144"/>
    </row>
    <row r="871" spans="1:11" ht="12.75">
      <c r="A871" s="102">
        <v>4232</v>
      </c>
      <c r="B871" s="363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61">
        <v>150000</v>
      </c>
      <c r="K871" s="144"/>
    </row>
    <row r="872" spans="1:11" ht="12.75">
      <c r="A872" s="356">
        <v>423311</v>
      </c>
      <c r="B872" s="363"/>
      <c r="C872" s="356" t="s">
        <v>42</v>
      </c>
      <c r="D872" s="357">
        <v>90000</v>
      </c>
      <c r="E872" s="357"/>
      <c r="F872" s="357"/>
      <c r="G872" s="357"/>
      <c r="H872" s="357"/>
      <c r="I872" s="357"/>
      <c r="J872" s="359"/>
      <c r="K872" s="144"/>
    </row>
    <row r="873" spans="1:11" ht="12.75">
      <c r="A873" s="356">
        <v>423321</v>
      </c>
      <c r="B873" s="363"/>
      <c r="C873" s="356" t="s">
        <v>41</v>
      </c>
      <c r="D873" s="357">
        <v>2720</v>
      </c>
      <c r="E873" s="357"/>
      <c r="F873" s="357"/>
      <c r="G873" s="357"/>
      <c r="H873" s="357"/>
      <c r="I873" s="357"/>
      <c r="J873" s="359"/>
      <c r="K873" s="144"/>
    </row>
    <row r="874" spans="1:11" ht="12.75">
      <c r="A874" s="356">
        <v>4233910</v>
      </c>
      <c r="B874" s="363"/>
      <c r="C874" s="356" t="s">
        <v>130</v>
      </c>
      <c r="D874" s="357">
        <v>62307.99</v>
      </c>
      <c r="E874" s="357"/>
      <c r="F874" s="357"/>
      <c r="G874" s="357"/>
      <c r="H874" s="357"/>
      <c r="I874" s="357"/>
      <c r="J874" s="359"/>
      <c r="K874" s="144"/>
    </row>
    <row r="875" spans="1:11" ht="12.75">
      <c r="A875" s="102">
        <v>4233</v>
      </c>
      <c r="B875" s="363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61">
        <v>650000</v>
      </c>
      <c r="K875" s="144"/>
    </row>
    <row r="876" spans="1:11" ht="12.75">
      <c r="A876" s="356">
        <v>423421</v>
      </c>
      <c r="B876" s="363"/>
      <c r="C876" s="356" t="s">
        <v>43</v>
      </c>
      <c r="D876" s="357">
        <v>6499.99</v>
      </c>
      <c r="E876" s="357"/>
      <c r="F876" s="357"/>
      <c r="G876" s="357"/>
      <c r="H876" s="357"/>
      <c r="I876" s="357"/>
      <c r="J876" s="359"/>
      <c r="K876" s="144"/>
    </row>
    <row r="877" spans="1:11" ht="12.75">
      <c r="A877" s="370">
        <v>423432</v>
      </c>
      <c r="B877" s="363"/>
      <c r="C877" s="370" t="s">
        <v>44</v>
      </c>
      <c r="D877" s="371">
        <v>53980.44</v>
      </c>
      <c r="E877" s="371"/>
      <c r="F877" s="371"/>
      <c r="G877" s="371"/>
      <c r="H877" s="371"/>
      <c r="I877" s="371"/>
      <c r="J877" s="359"/>
      <c r="K877" s="144"/>
    </row>
    <row r="878" spans="1:11" ht="12.75">
      <c r="A878" s="102">
        <v>4234</v>
      </c>
      <c r="B878" s="363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61">
        <v>130000</v>
      </c>
      <c r="K878" s="144"/>
    </row>
    <row r="879" spans="1:11" ht="12.75">
      <c r="A879" s="356">
        <v>423539</v>
      </c>
      <c r="B879" s="363"/>
      <c r="C879" s="356" t="s">
        <v>131</v>
      </c>
      <c r="D879" s="357">
        <v>88000</v>
      </c>
      <c r="E879" s="357"/>
      <c r="F879" s="357"/>
      <c r="G879" s="357"/>
      <c r="H879" s="357"/>
      <c r="I879" s="357"/>
      <c r="J879" s="359"/>
      <c r="K879" s="144"/>
    </row>
    <row r="880" spans="1:11" ht="12.75">
      <c r="A880" s="356">
        <v>423599</v>
      </c>
      <c r="B880" s="363"/>
      <c r="C880" s="356" t="s">
        <v>45</v>
      </c>
      <c r="D880" s="357">
        <v>101790.15</v>
      </c>
      <c r="E880" s="357"/>
      <c r="F880" s="357"/>
      <c r="G880" s="357"/>
      <c r="H880" s="357"/>
      <c r="I880" s="357"/>
      <c r="J880" s="359"/>
      <c r="K880" s="144"/>
    </row>
    <row r="881" spans="1:11" ht="12.75">
      <c r="A881" s="102">
        <v>4235</v>
      </c>
      <c r="B881" s="363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61">
        <v>250000</v>
      </c>
      <c r="K881" s="144"/>
    </row>
    <row r="882" spans="1:11" ht="12.75">
      <c r="A882" s="356">
        <v>423611</v>
      </c>
      <c r="B882" s="363"/>
      <c r="C882" s="356" t="s">
        <v>46</v>
      </c>
      <c r="D882" s="357">
        <v>612933.3</v>
      </c>
      <c r="E882" s="357"/>
      <c r="F882" s="357"/>
      <c r="G882" s="357"/>
      <c r="H882" s="357"/>
      <c r="I882" s="357"/>
      <c r="J882" s="359"/>
      <c r="K882" s="144"/>
    </row>
    <row r="883" spans="1:11" ht="12.75">
      <c r="A883" s="102">
        <v>4236</v>
      </c>
      <c r="B883" s="363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61">
        <v>1880000</v>
      </c>
      <c r="K883" s="144"/>
    </row>
    <row r="884" spans="1:11" ht="12.75">
      <c r="A884" s="356">
        <v>423711</v>
      </c>
      <c r="B884" s="363"/>
      <c r="C884" s="356" t="s">
        <v>47</v>
      </c>
      <c r="D884" s="357">
        <v>6768.34</v>
      </c>
      <c r="E884" s="357"/>
      <c r="F884" s="357"/>
      <c r="G884" s="357"/>
      <c r="H884" s="357"/>
      <c r="I884" s="357"/>
      <c r="J884" s="359"/>
      <c r="K884" s="144"/>
    </row>
    <row r="885" spans="1:11" ht="12.75">
      <c r="A885" s="102">
        <v>4237</v>
      </c>
      <c r="B885" s="363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61">
        <v>60000</v>
      </c>
      <c r="K885" s="144"/>
    </row>
    <row r="886" spans="1:11" ht="12.75">
      <c r="A886" s="356">
        <v>423911</v>
      </c>
      <c r="B886" s="363"/>
      <c r="C886" s="356" t="s">
        <v>48</v>
      </c>
      <c r="D886" s="357">
        <v>26048</v>
      </c>
      <c r="E886" s="357"/>
      <c r="F886" s="357"/>
      <c r="G886" s="357"/>
      <c r="H886" s="357"/>
      <c r="I886" s="357"/>
      <c r="J886" s="359"/>
      <c r="K886" s="144"/>
    </row>
    <row r="887" spans="1:11" ht="12.75">
      <c r="A887" s="102">
        <v>4239</v>
      </c>
      <c r="B887" s="363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61">
        <v>200000</v>
      </c>
      <c r="K887" s="144"/>
    </row>
    <row r="888" spans="1:11" ht="12.75">
      <c r="A888" s="356">
        <v>424351</v>
      </c>
      <c r="B888" s="363"/>
      <c r="C888" s="356" t="s">
        <v>49</v>
      </c>
      <c r="D888" s="357">
        <v>0</v>
      </c>
      <c r="E888" s="357"/>
      <c r="F888" s="357"/>
      <c r="G888" s="357"/>
      <c r="H888" s="357"/>
      <c r="I888" s="357"/>
      <c r="J888" s="359"/>
      <c r="K888" s="144"/>
    </row>
    <row r="889" spans="1:11" ht="12.75">
      <c r="A889" s="102">
        <v>4243</v>
      </c>
      <c r="B889" s="363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61">
        <v>300000</v>
      </c>
      <c r="K889" s="144"/>
    </row>
    <row r="890" spans="1:11" ht="12.75">
      <c r="A890" s="356">
        <v>425112</v>
      </c>
      <c r="B890" s="363"/>
      <c r="C890" s="356" t="s">
        <v>50</v>
      </c>
      <c r="D890" s="357">
        <v>10358.04</v>
      </c>
      <c r="E890" s="357"/>
      <c r="F890" s="357"/>
      <c r="G890" s="357"/>
      <c r="H890" s="357"/>
      <c r="I890" s="357"/>
      <c r="J890" s="359"/>
      <c r="K890" s="144"/>
    </row>
    <row r="891" spans="1:11" ht="12.75">
      <c r="A891" s="356">
        <v>425115</v>
      </c>
      <c r="B891" s="363"/>
      <c r="C891" s="356" t="s">
        <v>51</v>
      </c>
      <c r="D891" s="357">
        <v>11145.1</v>
      </c>
      <c r="E891" s="357"/>
      <c r="F891" s="357"/>
      <c r="G891" s="357"/>
      <c r="H891" s="357"/>
      <c r="I891" s="357"/>
      <c r="J891" s="359"/>
      <c r="K891" s="144"/>
    </row>
    <row r="892" spans="1:11" ht="12.75">
      <c r="A892" s="356">
        <v>425117</v>
      </c>
      <c r="B892" s="363"/>
      <c r="C892" s="356" t="s">
        <v>52</v>
      </c>
      <c r="D892" s="357">
        <v>35272.32</v>
      </c>
      <c r="E892" s="357"/>
      <c r="F892" s="357"/>
      <c r="G892" s="357"/>
      <c r="H892" s="357"/>
      <c r="I892" s="357"/>
      <c r="J892" s="359"/>
      <c r="K892" s="144"/>
    </row>
    <row r="893" spans="1:11" ht="12.75">
      <c r="A893" s="102">
        <v>4251</v>
      </c>
      <c r="B893" s="363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61">
        <v>550000</v>
      </c>
      <c r="K893" s="144"/>
    </row>
    <row r="894" spans="1:11" ht="12.75">
      <c r="A894" s="356">
        <v>425211</v>
      </c>
      <c r="B894" s="363"/>
      <c r="C894" s="356" t="s">
        <v>53</v>
      </c>
      <c r="D894" s="357">
        <v>18172</v>
      </c>
      <c r="E894" s="357"/>
      <c r="F894" s="357"/>
      <c r="G894" s="357"/>
      <c r="H894" s="357"/>
      <c r="I894" s="357"/>
      <c r="J894" s="359"/>
      <c r="K894" s="144"/>
    </row>
    <row r="895" spans="1:11" ht="12.75">
      <c r="A895" s="356">
        <v>425212</v>
      </c>
      <c r="B895" s="363"/>
      <c r="C895" s="356" t="s">
        <v>54</v>
      </c>
      <c r="D895" s="357">
        <v>0</v>
      </c>
      <c r="E895" s="357"/>
      <c r="F895" s="357"/>
      <c r="G895" s="357"/>
      <c r="H895" s="357"/>
      <c r="I895" s="357"/>
      <c r="J895" s="359"/>
      <c r="K895" s="144"/>
    </row>
    <row r="896" spans="1:11" ht="12.75">
      <c r="A896" s="356">
        <v>425213</v>
      </c>
      <c r="B896" s="363"/>
      <c r="C896" s="356" t="s">
        <v>55</v>
      </c>
      <c r="D896" s="357">
        <v>0</v>
      </c>
      <c r="E896" s="357"/>
      <c r="F896" s="357"/>
      <c r="G896" s="357"/>
      <c r="H896" s="357"/>
      <c r="I896" s="357"/>
      <c r="J896" s="359"/>
      <c r="K896" s="144"/>
    </row>
    <row r="897" spans="1:11" ht="12.75">
      <c r="A897" s="356">
        <v>425222</v>
      </c>
      <c r="B897" s="363"/>
      <c r="C897" s="356" t="s">
        <v>56</v>
      </c>
      <c r="D897" s="357">
        <v>44185</v>
      </c>
      <c r="E897" s="357"/>
      <c r="F897" s="357"/>
      <c r="G897" s="357"/>
      <c r="H897" s="357"/>
      <c r="I897" s="357"/>
      <c r="J897" s="359"/>
      <c r="K897" s="144"/>
    </row>
    <row r="898" spans="1:11" ht="12.75">
      <c r="A898" s="356">
        <v>425223</v>
      </c>
      <c r="B898" s="363"/>
      <c r="C898" s="356" t="s">
        <v>57</v>
      </c>
      <c r="D898" s="357">
        <v>38550</v>
      </c>
      <c r="E898" s="357"/>
      <c r="F898" s="357"/>
      <c r="G898" s="357"/>
      <c r="H898" s="357"/>
      <c r="I898" s="357"/>
      <c r="J898" s="359"/>
      <c r="K898" s="144"/>
    </row>
    <row r="899" spans="1:11" ht="12.75">
      <c r="A899" s="356">
        <v>425225</v>
      </c>
      <c r="B899" s="363"/>
      <c r="C899" s="356" t="s">
        <v>58</v>
      </c>
      <c r="D899" s="357">
        <v>0</v>
      </c>
      <c r="E899" s="357"/>
      <c r="F899" s="357"/>
      <c r="G899" s="357"/>
      <c r="H899" s="357"/>
      <c r="I899" s="357"/>
      <c r="J899" s="359"/>
      <c r="K899" s="144"/>
    </row>
    <row r="900" spans="1:11" ht="12.75">
      <c r="A900" s="356">
        <v>425251</v>
      </c>
      <c r="B900" s="363"/>
      <c r="C900" s="356" t="s">
        <v>59</v>
      </c>
      <c r="D900" s="357">
        <v>106038</v>
      </c>
      <c r="E900" s="357"/>
      <c r="F900" s="357"/>
      <c r="G900" s="357"/>
      <c r="H900" s="357"/>
      <c r="I900" s="357"/>
      <c r="J900" s="359"/>
      <c r="K900" s="144"/>
    </row>
    <row r="901" spans="1:11" ht="12.75">
      <c r="A901" s="356">
        <v>425252</v>
      </c>
      <c r="B901" s="363"/>
      <c r="C901" s="356" t="s">
        <v>60</v>
      </c>
      <c r="D901" s="357">
        <v>0</v>
      </c>
      <c r="E901" s="357"/>
      <c r="F901" s="357"/>
      <c r="G901" s="357"/>
      <c r="H901" s="357"/>
      <c r="I901" s="357"/>
      <c r="J901" s="359"/>
      <c r="K901" s="144"/>
    </row>
    <row r="902" spans="1:11" ht="12.75">
      <c r="A902" s="372"/>
      <c r="B902" s="373"/>
      <c r="C902" s="372"/>
      <c r="D902" s="374"/>
      <c r="E902" s="374"/>
      <c r="F902" s="374"/>
      <c r="G902" s="374"/>
      <c r="H902" s="374"/>
      <c r="I902" s="374"/>
      <c r="J902" s="369"/>
      <c r="K902" s="144"/>
    </row>
    <row r="903" spans="1:11" s="97" customFormat="1" ht="13.5" thickBot="1">
      <c r="A903" s="346" t="s">
        <v>269</v>
      </c>
      <c r="B903" s="346"/>
      <c r="C903" s="346"/>
      <c r="D903" s="346"/>
      <c r="E903" s="347"/>
      <c r="F903" s="347"/>
      <c r="G903" s="347"/>
      <c r="H903" s="348"/>
      <c r="I903" s="348"/>
      <c r="J903" s="346" t="s">
        <v>252</v>
      </c>
      <c r="K903" s="170"/>
    </row>
    <row r="904" spans="1:11" ht="45.75" thickBot="1">
      <c r="A904" s="349" t="s">
        <v>0</v>
      </c>
      <c r="B904" s="350" t="s">
        <v>208</v>
      </c>
      <c r="C904" s="350" t="s">
        <v>1</v>
      </c>
      <c r="D904" s="350" t="s">
        <v>247</v>
      </c>
      <c r="E904" s="350" t="s">
        <v>248</v>
      </c>
      <c r="F904" s="351" t="s">
        <v>254</v>
      </c>
      <c r="G904" s="350" t="s">
        <v>253</v>
      </c>
      <c r="H904" s="350" t="s">
        <v>261</v>
      </c>
      <c r="I904" s="350" t="s">
        <v>201</v>
      </c>
      <c r="J904" s="350" t="s">
        <v>249</v>
      </c>
      <c r="K904" s="92"/>
    </row>
    <row r="905" spans="1:11" ht="12.75">
      <c r="A905" s="356">
        <v>425291</v>
      </c>
      <c r="B905" s="352"/>
      <c r="C905" s="352" t="s">
        <v>62</v>
      </c>
      <c r="D905" s="354">
        <v>53836.8</v>
      </c>
      <c r="E905" s="354"/>
      <c r="F905" s="354"/>
      <c r="G905" s="354"/>
      <c r="H905" s="354"/>
      <c r="I905" s="354"/>
      <c r="J905" s="353"/>
      <c r="K905" s="144"/>
    </row>
    <row r="906" spans="1:11" ht="12.75">
      <c r="A906" s="102">
        <v>4252</v>
      </c>
      <c r="B906" s="363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61">
        <v>1000000</v>
      </c>
      <c r="K906" s="144"/>
    </row>
    <row r="907" spans="1:11" ht="12.75">
      <c r="A907" s="356">
        <v>426111</v>
      </c>
      <c r="B907" s="363"/>
      <c r="C907" s="356" t="s">
        <v>63</v>
      </c>
      <c r="D907" s="357">
        <v>439441.28</v>
      </c>
      <c r="E907" s="357"/>
      <c r="F907" s="357"/>
      <c r="G907" s="357"/>
      <c r="H907" s="357"/>
      <c r="I907" s="357"/>
      <c r="J907" s="359"/>
      <c r="K907" s="144"/>
    </row>
    <row r="908" spans="1:11" ht="12.75">
      <c r="A908" s="356">
        <v>426121</v>
      </c>
      <c r="B908" s="363"/>
      <c r="C908" s="356" t="s">
        <v>132</v>
      </c>
      <c r="D908" s="357">
        <v>8484.2</v>
      </c>
      <c r="E908" s="357"/>
      <c r="F908" s="357"/>
      <c r="G908" s="357"/>
      <c r="H908" s="357"/>
      <c r="I908" s="357"/>
      <c r="J908" s="359"/>
      <c r="K908" s="144"/>
    </row>
    <row r="909" spans="1:11" ht="12.75">
      <c r="A909" s="356">
        <v>426129</v>
      </c>
      <c r="B909" s="363"/>
      <c r="C909" s="356" t="s">
        <v>64</v>
      </c>
      <c r="D909" s="357">
        <v>5392.6</v>
      </c>
      <c r="E909" s="357"/>
      <c r="F909" s="357"/>
      <c r="G909" s="357"/>
      <c r="H909" s="357"/>
      <c r="I909" s="357"/>
      <c r="J909" s="359"/>
      <c r="K909" s="144"/>
    </row>
    <row r="910" spans="1:11" ht="12.75">
      <c r="A910" s="102">
        <v>4261</v>
      </c>
      <c r="B910" s="363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61">
        <v>1400000</v>
      </c>
      <c r="K910" s="144"/>
    </row>
    <row r="911" spans="1:11" ht="12.75">
      <c r="A911" s="356">
        <v>426311</v>
      </c>
      <c r="B911" s="363"/>
      <c r="C911" s="356" t="s">
        <v>65</v>
      </c>
      <c r="D911" s="357">
        <v>77900</v>
      </c>
      <c r="E911" s="357"/>
      <c r="F911" s="357"/>
      <c r="G911" s="357"/>
      <c r="H911" s="357"/>
      <c r="I911" s="357"/>
      <c r="J911" s="359"/>
      <c r="K911" s="144"/>
    </row>
    <row r="912" spans="1:11" ht="12.75">
      <c r="A912" s="102">
        <v>4263</v>
      </c>
      <c r="B912" s="363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61">
        <v>150000</v>
      </c>
      <c r="K912" s="144"/>
    </row>
    <row r="913" spans="1:11" ht="12.75">
      <c r="A913" s="356">
        <v>426491</v>
      </c>
      <c r="B913" s="363"/>
      <c r="C913" s="356" t="s">
        <v>69</v>
      </c>
      <c r="D913" s="357">
        <v>293820.82</v>
      </c>
      <c r="E913" s="357"/>
      <c r="F913" s="357"/>
      <c r="G913" s="357"/>
      <c r="H913" s="357"/>
      <c r="I913" s="357"/>
      <c r="J913" s="359"/>
      <c r="K913" s="144"/>
    </row>
    <row r="914" spans="1:11" ht="12.75">
      <c r="A914" s="102">
        <v>4264</v>
      </c>
      <c r="B914" s="363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56">
        <v>426811</v>
      </c>
      <c r="B915" s="363"/>
      <c r="C915" s="356" t="s">
        <v>76</v>
      </c>
      <c r="D915" s="357">
        <v>60097.97</v>
      </c>
      <c r="E915" s="357"/>
      <c r="F915" s="357"/>
      <c r="G915" s="357"/>
      <c r="H915" s="357"/>
      <c r="I915" s="357"/>
      <c r="J915" s="359"/>
      <c r="K915" s="144"/>
    </row>
    <row r="916" spans="1:11" ht="12.75">
      <c r="A916" s="356">
        <v>426812</v>
      </c>
      <c r="B916" s="363"/>
      <c r="C916" s="356" t="s">
        <v>77</v>
      </c>
      <c r="D916" s="357">
        <v>16461</v>
      </c>
      <c r="E916" s="357"/>
      <c r="F916" s="357"/>
      <c r="G916" s="357"/>
      <c r="H916" s="357"/>
      <c r="I916" s="357"/>
      <c r="J916" s="359"/>
      <c r="K916" s="144"/>
    </row>
    <row r="917" spans="1:11" ht="12.75">
      <c r="A917" s="356">
        <v>426819</v>
      </c>
      <c r="B917" s="363"/>
      <c r="C917" s="356" t="s">
        <v>78</v>
      </c>
      <c r="D917" s="357">
        <v>0</v>
      </c>
      <c r="E917" s="357"/>
      <c r="F917" s="357"/>
      <c r="G917" s="357"/>
      <c r="H917" s="357"/>
      <c r="I917" s="357"/>
      <c r="J917" s="359"/>
      <c r="K917" s="144"/>
    </row>
    <row r="918" spans="1:11" ht="12.75">
      <c r="A918" s="102">
        <v>4268</v>
      </c>
      <c r="B918" s="363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61">
        <v>350000</v>
      </c>
      <c r="K918" s="144"/>
    </row>
    <row r="919" spans="1:11" ht="12.75">
      <c r="A919" s="356">
        <v>426911</v>
      </c>
      <c r="B919" s="363"/>
      <c r="C919" s="356" t="s">
        <v>79</v>
      </c>
      <c r="D919" s="357">
        <f>E919+G919</f>
        <v>0</v>
      </c>
      <c r="E919" s="357"/>
      <c r="F919" s="357"/>
      <c r="G919" s="357"/>
      <c r="H919" s="357"/>
      <c r="I919" s="357"/>
      <c r="J919" s="359"/>
      <c r="K919" s="144"/>
    </row>
    <row r="920" spans="1:11" ht="12.75">
      <c r="A920" s="356">
        <v>426913</v>
      </c>
      <c r="B920" s="363"/>
      <c r="C920" s="356" t="s">
        <v>80</v>
      </c>
      <c r="D920" s="357">
        <v>84536</v>
      </c>
      <c r="E920" s="357"/>
      <c r="F920" s="357"/>
      <c r="G920" s="357"/>
      <c r="H920" s="357"/>
      <c r="I920" s="357"/>
      <c r="J920" s="359"/>
      <c r="K920" s="144"/>
    </row>
    <row r="921" spans="1:11" ht="12.75">
      <c r="A921" s="102">
        <v>4269</v>
      </c>
      <c r="B921" s="363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61">
        <v>500000</v>
      </c>
      <c r="K921" s="144"/>
    </row>
    <row r="922" spans="1:11" ht="12.75">
      <c r="A922" s="356">
        <v>444211</v>
      </c>
      <c r="B922" s="363"/>
      <c r="C922" s="356" t="s">
        <v>85</v>
      </c>
      <c r="D922" s="357">
        <v>5347.14</v>
      </c>
      <c r="E922" s="357"/>
      <c r="F922" s="357"/>
      <c r="G922" s="357"/>
      <c r="H922" s="357"/>
      <c r="I922" s="357"/>
      <c r="J922" s="359"/>
      <c r="K922" s="92"/>
    </row>
    <row r="923" spans="1:11" ht="12.75">
      <c r="A923" s="102">
        <v>4442</v>
      </c>
      <c r="B923" s="363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9"/>
      <c r="K923" s="92"/>
    </row>
    <row r="924" spans="1:11" ht="12.75">
      <c r="A924" s="356">
        <v>482131</v>
      </c>
      <c r="B924" s="363"/>
      <c r="C924" s="356" t="s">
        <v>86</v>
      </c>
      <c r="D924" s="357">
        <v>3142.5</v>
      </c>
      <c r="E924" s="357"/>
      <c r="F924" s="357"/>
      <c r="G924" s="357"/>
      <c r="H924" s="357"/>
      <c r="I924" s="357"/>
      <c r="J924" s="359"/>
      <c r="K924" s="92"/>
    </row>
    <row r="925" spans="1:11" ht="12.75">
      <c r="A925" s="102">
        <v>4821</v>
      </c>
      <c r="B925" s="363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61">
        <v>7000</v>
      </c>
      <c r="K925" s="92"/>
    </row>
    <row r="926" spans="1:11" ht="12.75">
      <c r="A926" s="356">
        <v>482211</v>
      </c>
      <c r="B926" s="363"/>
      <c r="C926" s="356" t="s">
        <v>88</v>
      </c>
      <c r="D926" s="357">
        <v>0</v>
      </c>
      <c r="E926" s="357"/>
      <c r="F926" s="357"/>
      <c r="G926" s="357"/>
      <c r="H926" s="357"/>
      <c r="I926" s="357"/>
      <c r="J926" s="359"/>
      <c r="K926" s="92"/>
    </row>
    <row r="927" spans="1:11" ht="12.75">
      <c r="A927" s="352">
        <v>482241</v>
      </c>
      <c r="B927" s="363"/>
      <c r="C927" s="352" t="s">
        <v>91</v>
      </c>
      <c r="D927" s="354">
        <v>43549</v>
      </c>
      <c r="E927" s="354"/>
      <c r="F927" s="354"/>
      <c r="G927" s="354"/>
      <c r="H927" s="354"/>
      <c r="I927" s="354"/>
      <c r="J927" s="359"/>
      <c r="K927" s="92"/>
    </row>
    <row r="928" spans="1:11" ht="12.75">
      <c r="A928" s="356">
        <v>482251</v>
      </c>
      <c r="B928" s="363"/>
      <c r="C928" s="356" t="s">
        <v>89</v>
      </c>
      <c r="D928" s="357">
        <v>96783</v>
      </c>
      <c r="E928" s="357"/>
      <c r="F928" s="357"/>
      <c r="G928" s="357"/>
      <c r="H928" s="357"/>
      <c r="I928" s="357"/>
      <c r="J928" s="359"/>
      <c r="K928" s="92"/>
    </row>
    <row r="929" spans="1:11" ht="12.75">
      <c r="A929" s="356"/>
      <c r="B929" s="363"/>
      <c r="C929" s="356" t="s">
        <v>265</v>
      </c>
      <c r="D929" s="357"/>
      <c r="E929" s="357"/>
      <c r="F929" s="357"/>
      <c r="G929" s="357"/>
      <c r="H929" s="357"/>
      <c r="I929" s="364">
        <v>2200000</v>
      </c>
      <c r="J929" s="359"/>
      <c r="K929" s="92"/>
    </row>
    <row r="930" spans="1:11" ht="12.75">
      <c r="A930" s="102">
        <v>4822</v>
      </c>
      <c r="B930" s="363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61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75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56">
        <v>421211</v>
      </c>
      <c r="B933" s="363"/>
      <c r="C933" s="356" t="s">
        <v>23</v>
      </c>
      <c r="D933" s="357">
        <v>668574.08</v>
      </c>
      <c r="E933" s="357"/>
      <c r="F933" s="357"/>
      <c r="G933" s="357">
        <v>1800000</v>
      </c>
      <c r="H933" s="357"/>
      <c r="I933" s="357"/>
      <c r="J933" s="359"/>
      <c r="K933" s="136"/>
    </row>
    <row r="934" spans="1:11" ht="12.75">
      <c r="A934" s="356">
        <v>421225</v>
      </c>
      <c r="B934" s="363"/>
      <c r="C934" s="356" t="s">
        <v>24</v>
      </c>
      <c r="D934" s="357">
        <v>41318.2</v>
      </c>
      <c r="E934" s="357"/>
      <c r="F934" s="357"/>
      <c r="G934" s="357">
        <v>3200000</v>
      </c>
      <c r="H934" s="357"/>
      <c r="I934" s="357"/>
      <c r="J934" s="359"/>
      <c r="K934" s="136"/>
    </row>
    <row r="935" spans="1:11" ht="12.75">
      <c r="A935" s="356">
        <v>426411</v>
      </c>
      <c r="B935" s="363"/>
      <c r="C935" s="356" t="s">
        <v>66</v>
      </c>
      <c r="D935" s="357">
        <v>1229000</v>
      </c>
      <c r="E935" s="357"/>
      <c r="F935" s="357"/>
      <c r="G935" s="357">
        <v>3000000</v>
      </c>
      <c r="H935" s="357"/>
      <c r="I935" s="357"/>
      <c r="J935" s="359"/>
      <c r="K935" s="136"/>
    </row>
    <row r="936" spans="1:11" ht="12.75">
      <c r="A936" s="356">
        <v>426412</v>
      </c>
      <c r="B936" s="363"/>
      <c r="C936" s="356" t="s">
        <v>67</v>
      </c>
      <c r="D936" s="357">
        <v>200000</v>
      </c>
      <c r="E936" s="357"/>
      <c r="F936" s="357"/>
      <c r="G936" s="357"/>
      <c r="H936" s="357"/>
      <c r="I936" s="357"/>
      <c r="J936" s="359"/>
      <c r="K936" s="122"/>
    </row>
    <row r="937" spans="1:11" ht="12.75">
      <c r="A937" s="356">
        <v>426413</v>
      </c>
      <c r="B937" s="363"/>
      <c r="C937" s="356" t="s">
        <v>68</v>
      </c>
      <c r="D937" s="357"/>
      <c r="E937" s="357"/>
      <c r="F937" s="357"/>
      <c r="G937" s="357"/>
      <c r="H937" s="357"/>
      <c r="I937" s="357"/>
      <c r="J937" s="359"/>
      <c r="K937" s="122"/>
    </row>
    <row r="938" spans="1:11" ht="12.75">
      <c r="A938" s="376"/>
      <c r="B938" s="375"/>
      <c r="C938" s="376" t="s">
        <v>181</v>
      </c>
      <c r="D938" s="357"/>
      <c r="E938" s="357"/>
      <c r="F938" s="357"/>
      <c r="G938" s="357"/>
      <c r="H938" s="357"/>
      <c r="I938" s="357"/>
      <c r="J938" s="359"/>
      <c r="K938" s="122"/>
    </row>
    <row r="939" spans="1:11" ht="12.75">
      <c r="A939" s="376"/>
      <c r="B939" s="375"/>
      <c r="C939" s="376" t="s">
        <v>182</v>
      </c>
      <c r="D939" s="364">
        <f>D940+D941+D942</f>
        <v>1408503.96</v>
      </c>
      <c r="E939" s="364">
        <v>5502758.92</v>
      </c>
      <c r="F939" s="364">
        <f>757008.88</f>
        <v>757008.88</v>
      </c>
      <c r="G939" s="364">
        <v>2800000</v>
      </c>
      <c r="H939" s="364">
        <f>SUM(D939:G939)</f>
        <v>10468271.76</v>
      </c>
      <c r="I939" s="364">
        <v>11156000</v>
      </c>
      <c r="J939" s="361">
        <v>11156000</v>
      </c>
      <c r="K939" s="134"/>
    </row>
    <row r="940" spans="1:11" ht="12.75">
      <c r="A940" s="356">
        <v>4267111</v>
      </c>
      <c r="B940" s="359"/>
      <c r="C940" s="356" t="s">
        <v>70</v>
      </c>
      <c r="D940" s="357">
        <v>140007</v>
      </c>
      <c r="E940" s="357"/>
      <c r="F940" s="357"/>
      <c r="G940" s="357"/>
      <c r="H940" s="357"/>
      <c r="I940" s="357"/>
      <c r="J940" s="359"/>
      <c r="K940" s="122"/>
    </row>
    <row r="941" spans="1:11" ht="12.75">
      <c r="A941" s="356">
        <v>4267112</v>
      </c>
      <c r="B941" s="359"/>
      <c r="C941" s="356" t="s">
        <v>71</v>
      </c>
      <c r="D941" s="357">
        <v>436301.89</v>
      </c>
      <c r="E941" s="357"/>
      <c r="F941" s="357"/>
      <c r="G941" s="357"/>
      <c r="H941" s="357"/>
      <c r="I941" s="357"/>
      <c r="J941" s="359"/>
      <c r="K941" s="122"/>
    </row>
    <row r="942" spans="1:11" ht="12.75">
      <c r="A942" s="356">
        <v>426721</v>
      </c>
      <c r="B942" s="359"/>
      <c r="C942" s="356" t="s">
        <v>73</v>
      </c>
      <c r="D942" s="357">
        <v>832195.07</v>
      </c>
      <c r="E942" s="357"/>
      <c r="F942" s="357"/>
      <c r="G942" s="357"/>
      <c r="H942" s="357"/>
      <c r="I942" s="357"/>
      <c r="J942" s="359"/>
      <c r="K942" s="122"/>
    </row>
    <row r="943" spans="1:11" ht="12.75">
      <c r="A943" s="356"/>
      <c r="B943" s="361"/>
      <c r="C943" s="376" t="s">
        <v>183</v>
      </c>
      <c r="D943" s="364">
        <f>D944+D945</f>
        <v>1520929.8900000001</v>
      </c>
      <c r="E943" s="364">
        <v>7246073.25</v>
      </c>
      <c r="F943" s="364">
        <f>269168.59</f>
        <v>269168.59</v>
      </c>
      <c r="G943" s="364">
        <v>3600000</v>
      </c>
      <c r="H943" s="364">
        <f>SUM(D943:G943)</f>
        <v>12636171.73</v>
      </c>
      <c r="I943" s="365">
        <v>14155000</v>
      </c>
      <c r="J943" s="361">
        <v>14155000</v>
      </c>
      <c r="K943" s="122"/>
    </row>
    <row r="944" spans="1:11" ht="12.75">
      <c r="A944" s="356">
        <v>4267510</v>
      </c>
      <c r="B944" s="359"/>
      <c r="C944" s="356" t="s">
        <v>75</v>
      </c>
      <c r="D944" s="357">
        <v>1143661.06</v>
      </c>
      <c r="E944" s="357"/>
      <c r="F944" s="357"/>
      <c r="G944" s="357"/>
      <c r="H944" s="357"/>
      <c r="I944" s="358"/>
      <c r="J944" s="359"/>
      <c r="K944" s="122"/>
    </row>
    <row r="945" spans="1:11" ht="12.75">
      <c r="A945" s="356">
        <v>4267511</v>
      </c>
      <c r="B945" s="359"/>
      <c r="C945" s="356" t="s">
        <v>74</v>
      </c>
      <c r="D945" s="357">
        <v>377268.83</v>
      </c>
      <c r="E945" s="357"/>
      <c r="F945" s="357"/>
      <c r="G945" s="357"/>
      <c r="H945" s="357"/>
      <c r="I945" s="358"/>
      <c r="J945" s="359"/>
      <c r="K945" s="122"/>
    </row>
    <row r="946" spans="1:11" ht="12.75">
      <c r="A946" s="356"/>
      <c r="B946" s="361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46" t="s">
        <v>271</v>
      </c>
      <c r="B947" s="346"/>
      <c r="C947" s="346"/>
      <c r="D947" s="346"/>
      <c r="E947" s="347"/>
      <c r="F947" s="347"/>
      <c r="G947" s="347"/>
      <c r="H947" s="348"/>
      <c r="I947" s="348"/>
      <c r="J947" s="346" t="s">
        <v>256</v>
      </c>
      <c r="K947" s="122"/>
    </row>
    <row r="948" spans="1:11" ht="45">
      <c r="A948" s="350" t="s">
        <v>0</v>
      </c>
      <c r="B948" s="350" t="s">
        <v>208</v>
      </c>
      <c r="C948" s="350" t="s">
        <v>1</v>
      </c>
      <c r="D948" s="350" t="s">
        <v>247</v>
      </c>
      <c r="E948" s="350" t="s">
        <v>248</v>
      </c>
      <c r="F948" s="351" t="s">
        <v>254</v>
      </c>
      <c r="G948" s="350" t="s">
        <v>253</v>
      </c>
      <c r="H948" s="350" t="s">
        <v>261</v>
      </c>
      <c r="I948" s="350" t="s">
        <v>201</v>
      </c>
      <c r="J948" s="350" t="s">
        <v>249</v>
      </c>
      <c r="K948" s="122"/>
    </row>
    <row r="949" spans="1:11" ht="12.75">
      <c r="A949" s="356"/>
      <c r="B949" s="359"/>
      <c r="C949" s="376" t="s">
        <v>257</v>
      </c>
      <c r="D949" s="357"/>
      <c r="E949" s="357"/>
      <c r="F949" s="357"/>
      <c r="G949" s="357"/>
      <c r="H949" s="357"/>
      <c r="I949" s="357"/>
      <c r="J949" s="359"/>
      <c r="K949" s="122"/>
    </row>
    <row r="950" spans="1:11" ht="12.75">
      <c r="A950" s="356"/>
      <c r="B950" s="359"/>
      <c r="C950" s="356" t="s">
        <v>190</v>
      </c>
      <c r="D950" s="357" t="s">
        <v>272</v>
      </c>
      <c r="E950" s="357"/>
      <c r="F950" s="357"/>
      <c r="G950" s="357"/>
      <c r="H950" s="357"/>
      <c r="I950" s="357">
        <v>4000000</v>
      </c>
      <c r="J950" s="359">
        <v>3500000</v>
      </c>
      <c r="K950" s="122"/>
    </row>
    <row r="951" spans="1:11" ht="12.75">
      <c r="A951" s="356"/>
      <c r="B951" s="359"/>
      <c r="C951" s="356" t="s">
        <v>191</v>
      </c>
      <c r="D951" s="357"/>
      <c r="E951" s="357"/>
      <c r="F951" s="357"/>
      <c r="G951" s="357"/>
      <c r="H951" s="357"/>
      <c r="I951" s="357">
        <v>1437000</v>
      </c>
      <c r="J951" s="359">
        <v>1437000</v>
      </c>
      <c r="K951" s="122"/>
    </row>
    <row r="952" spans="1:11" ht="12.75">
      <c r="A952" s="356"/>
      <c r="B952" s="359"/>
      <c r="C952" s="356" t="s">
        <v>267</v>
      </c>
      <c r="D952" s="357"/>
      <c r="E952" s="357"/>
      <c r="F952" s="357"/>
      <c r="G952" s="357"/>
      <c r="H952" s="357"/>
      <c r="I952" s="357">
        <v>2686275</v>
      </c>
      <c r="J952" s="359">
        <v>5000000</v>
      </c>
      <c r="K952" s="122"/>
    </row>
    <row r="953" spans="1:11" ht="12.75">
      <c r="A953" s="356"/>
      <c r="B953" s="359"/>
      <c r="C953" s="356" t="s">
        <v>258</v>
      </c>
      <c r="D953" s="357"/>
      <c r="E953" s="357"/>
      <c r="F953" s="357"/>
      <c r="G953" s="357"/>
      <c r="H953" s="357"/>
      <c r="I953" s="357">
        <v>1400000</v>
      </c>
      <c r="J953" s="359">
        <v>1400000</v>
      </c>
      <c r="K953" s="122"/>
    </row>
    <row r="954" spans="1:11" ht="12.75">
      <c r="A954" s="356"/>
      <c r="B954" s="359"/>
      <c r="C954" s="356" t="s">
        <v>259</v>
      </c>
      <c r="D954" s="357"/>
      <c r="E954" s="357"/>
      <c r="F954" s="357"/>
      <c r="G954" s="357"/>
      <c r="H954" s="357"/>
      <c r="I954" s="357">
        <v>4600000</v>
      </c>
      <c r="J954" s="359">
        <v>6000000</v>
      </c>
      <c r="K954" s="122"/>
    </row>
    <row r="955" spans="1:11" ht="12.75">
      <c r="A955" s="356"/>
      <c r="B955" s="356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72"/>
      <c r="B956" s="356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72"/>
      <c r="B957" s="372"/>
      <c r="C957" s="367"/>
      <c r="D957" s="368"/>
      <c r="E957" s="368"/>
      <c r="F957" s="368"/>
      <c r="G957" s="368"/>
      <c r="H957" s="368"/>
      <c r="I957" s="368"/>
      <c r="J957" s="368"/>
      <c r="K957" s="92"/>
    </row>
    <row r="958" spans="1:11" ht="12.75">
      <c r="A958" s="372"/>
      <c r="B958" s="372"/>
      <c r="C958" s="367"/>
      <c r="D958" s="368"/>
      <c r="E958" s="368"/>
      <c r="F958" s="368"/>
      <c r="G958" s="368"/>
      <c r="H958" s="368"/>
      <c r="I958" s="368"/>
      <c r="J958" s="368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360</v>
      </c>
      <c r="H1002" s="167" t="s">
        <v>359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360</v>
      </c>
      <c r="H1027" s="167" t="s">
        <v>359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360</v>
      </c>
      <c r="H1042" s="167" t="s">
        <v>359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358</v>
      </c>
      <c r="H1127" s="167" t="s">
        <v>359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358</v>
      </c>
      <c r="H1140" s="167" t="s">
        <v>359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358</v>
      </c>
      <c r="H1146" s="167" t="s">
        <v>359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9"/>
      <c r="B1159" s="399"/>
      <c r="C1159" s="399"/>
      <c r="D1159" s="399"/>
      <c r="E1159" s="399"/>
      <c r="F1159" s="399"/>
      <c r="G1159" s="399"/>
      <c r="H1159" s="399"/>
      <c r="I1159" s="399"/>
      <c r="J1159" s="399"/>
    </row>
    <row r="1160" spans="1:10" ht="12.75">
      <c r="A1160" s="399"/>
      <c r="B1160" s="399"/>
      <c r="C1160" s="399"/>
      <c r="D1160" s="399"/>
      <c r="E1160" s="399"/>
      <c r="F1160" s="399"/>
      <c r="G1160" s="399"/>
      <c r="H1160" s="399"/>
      <c r="I1160" s="399"/>
      <c r="J1160" s="399"/>
    </row>
    <row r="1161" spans="1:10" ht="12.75">
      <c r="A1161" s="400"/>
      <c r="B1161" s="400"/>
      <c r="C1161" s="401" t="s">
        <v>281</v>
      </c>
      <c r="D1161" s="401"/>
      <c r="E1161" s="401"/>
      <c r="F1161" s="401"/>
      <c r="G1161" s="400"/>
      <c r="H1161" s="400"/>
      <c r="I1161" s="400"/>
      <c r="J1161" s="400"/>
    </row>
    <row r="1162" spans="1:10" ht="12.75">
      <c r="A1162" s="402" t="s">
        <v>270</v>
      </c>
      <c r="B1162" s="402"/>
      <c r="C1162" s="402"/>
      <c r="D1162" s="402"/>
      <c r="E1162" s="402"/>
      <c r="F1162" s="402"/>
      <c r="G1162" s="402"/>
      <c r="H1162" s="402"/>
      <c r="I1162" s="402" t="s">
        <v>311</v>
      </c>
      <c r="J1162" s="399"/>
    </row>
    <row r="1163" spans="1:10" ht="45">
      <c r="A1163" s="403" t="s">
        <v>0</v>
      </c>
      <c r="B1163" s="403" t="s">
        <v>208</v>
      </c>
      <c r="C1163" s="403" t="s">
        <v>1</v>
      </c>
      <c r="D1163" s="403" t="s">
        <v>247</v>
      </c>
      <c r="E1163" s="403" t="s">
        <v>248</v>
      </c>
      <c r="F1163" s="403" t="s">
        <v>254</v>
      </c>
      <c r="G1163" s="403" t="s">
        <v>253</v>
      </c>
      <c r="H1163" s="403" t="s">
        <v>261</v>
      </c>
      <c r="I1163" s="403" t="s">
        <v>201</v>
      </c>
      <c r="J1163" s="403" t="s">
        <v>249</v>
      </c>
    </row>
    <row r="1164" spans="1:10" s="11" customFormat="1" ht="12.75">
      <c r="A1164" s="404">
        <v>4111</v>
      </c>
      <c r="B1164" s="405">
        <f>J1164*100/281336000</f>
        <v>0</v>
      </c>
      <c r="C1164" s="406" t="s">
        <v>92</v>
      </c>
      <c r="D1164" s="406">
        <v>77884983.26</v>
      </c>
      <c r="E1164" s="406"/>
      <c r="F1164" s="406"/>
      <c r="G1164" s="405"/>
      <c r="H1164" s="405"/>
      <c r="I1164" s="405"/>
      <c r="J1164" s="405"/>
    </row>
    <row r="1165" spans="1:10" s="11" customFormat="1" ht="12.75">
      <c r="A1165" s="404">
        <v>4121</v>
      </c>
      <c r="B1165" s="405">
        <f aca="true" t="shared" si="45" ref="B1165:B1200">J1165*100/281336000</f>
        <v>0</v>
      </c>
      <c r="C1165" s="406" t="s">
        <v>94</v>
      </c>
      <c r="D1165" s="406">
        <v>9006347.7</v>
      </c>
      <c r="E1165" s="406"/>
      <c r="F1165" s="406"/>
      <c r="G1165" s="405"/>
      <c r="H1165" s="405"/>
      <c r="I1165" s="405"/>
      <c r="J1165" s="405"/>
    </row>
    <row r="1166" spans="1:10" s="11" customFormat="1" ht="12.75">
      <c r="A1166" s="404">
        <v>4122</v>
      </c>
      <c r="B1166" s="405">
        <f t="shared" si="45"/>
        <v>0</v>
      </c>
      <c r="C1166" s="406" t="s">
        <v>14</v>
      </c>
      <c r="D1166" s="406">
        <v>4802370.03</v>
      </c>
      <c r="E1166" s="406"/>
      <c r="F1166" s="406"/>
      <c r="G1166" s="405"/>
      <c r="H1166" s="405"/>
      <c r="I1166" s="405"/>
      <c r="J1166" s="405"/>
    </row>
    <row r="1167" spans="1:10" s="11" customFormat="1" ht="12.75">
      <c r="A1167" s="404">
        <v>4123</v>
      </c>
      <c r="B1167" s="405">
        <f t="shared" si="45"/>
        <v>0</v>
      </c>
      <c r="C1167" s="406" t="s">
        <v>96</v>
      </c>
      <c r="D1167" s="406">
        <v>585654.88</v>
      </c>
      <c r="E1167" s="406"/>
      <c r="F1167" s="406"/>
      <c r="G1167" s="405"/>
      <c r="H1167" s="405"/>
      <c r="I1167" s="405"/>
      <c r="J1167" s="405"/>
    </row>
    <row r="1168" spans="1:10" s="11" customFormat="1" ht="12.75">
      <c r="A1168" s="404"/>
      <c r="B1168" s="405">
        <f t="shared" si="45"/>
        <v>79.52057326470839</v>
      </c>
      <c r="C1168" s="405" t="s">
        <v>255</v>
      </c>
      <c r="D1168" s="405">
        <v>92279355.87</v>
      </c>
      <c r="E1168" s="405"/>
      <c r="F1168" s="405"/>
      <c r="G1168" s="405">
        <f>4000000+127400000</f>
        <v>131400000</v>
      </c>
      <c r="H1168" s="405">
        <f>SUM(D1168:G1168)</f>
        <v>223679355.87</v>
      </c>
      <c r="I1168" s="405">
        <f>187186000+3930000+29100425</f>
        <v>220216425</v>
      </c>
      <c r="J1168" s="405">
        <f>7500000+216220000</f>
        <v>223720000</v>
      </c>
    </row>
    <row r="1169" spans="1:10" s="11" customFormat="1" ht="12.75">
      <c r="A1169" s="404">
        <v>4131</v>
      </c>
      <c r="B1169" s="405">
        <f t="shared" si="45"/>
        <v>1.55685728097364</v>
      </c>
      <c r="C1169" s="405" t="s">
        <v>178</v>
      </c>
      <c r="D1169" s="405">
        <v>1978111.77</v>
      </c>
      <c r="E1169" s="405">
        <v>10920</v>
      </c>
      <c r="F1169" s="405"/>
      <c r="G1169" s="405">
        <f>190000+2000000</f>
        <v>2190000</v>
      </c>
      <c r="H1169" s="405">
        <f aca="true" t="shared" si="46" ref="H1169:H1200">SUM(D1169:G1169)</f>
        <v>4179031.77</v>
      </c>
      <c r="I1169" s="405">
        <f>337300+4025000</f>
        <v>4362300</v>
      </c>
      <c r="J1169" s="405">
        <f>380000+4000000</f>
        <v>4380000</v>
      </c>
    </row>
    <row r="1170" spans="1:10" s="11" customFormat="1" ht="12.75">
      <c r="A1170" s="404">
        <v>4141</v>
      </c>
      <c r="B1170" s="405">
        <f t="shared" si="45"/>
        <v>1.0663406034066027</v>
      </c>
      <c r="C1170" s="405" t="s">
        <v>98</v>
      </c>
      <c r="D1170" s="405">
        <v>1497473.73</v>
      </c>
      <c r="E1170" s="405"/>
      <c r="F1170" s="405"/>
      <c r="G1170" s="405">
        <v>1500000</v>
      </c>
      <c r="H1170" s="405">
        <f t="shared" si="46"/>
        <v>2997473.73</v>
      </c>
      <c r="I1170" s="405">
        <v>3000000</v>
      </c>
      <c r="J1170" s="405">
        <v>3000000</v>
      </c>
    </row>
    <row r="1171" spans="1:10" s="11" customFormat="1" ht="12.75">
      <c r="A1171" s="404"/>
      <c r="B1171" s="405">
        <f t="shared" si="45"/>
        <v>5.879091193448403</v>
      </c>
      <c r="C1171" s="405" t="s">
        <v>179</v>
      </c>
      <c r="D1171" s="405">
        <v>4865258.98</v>
      </c>
      <c r="E1171" s="405">
        <f>E1172+E1173+E1174+E1175+E1176+E1177+E1178+E1179+E1180+E1181+E1182+E1183+E1184+E1185+E1186+E1187+E1188+E1189+E1190+E1191+E1192+E1193+E1194+E1194+E1195+E1196</f>
        <v>2752905.9499999997</v>
      </c>
      <c r="F1171" s="405">
        <f>F1172+F1173+F1174+F1175+F1176+F1177+F1178+F1179+F1180+F1181+F1182+F1183+F1184+F1185+F1186+F1187+F1188+F1189+F1190+F1191+F1192+F1193+F1194+F1194+F1195+F1196</f>
        <v>65578.55</v>
      </c>
      <c r="G1171" s="405">
        <f>G1172+G1173+G1174+G1175+G1176+G1177+G1178+G1179+G1180+G1181+G1182+G1183+G1184+G1185+G1186+G1187+G1188+G1189+G1190+G1191+G1192+G1193+G1194+G1194+G1195+G1196</f>
        <v>8676350</v>
      </c>
      <c r="H1171" s="405">
        <f t="shared" si="46"/>
        <v>16360093.48</v>
      </c>
      <c r="I1171" s="405">
        <f>I1173+I1174+I1175+I1176+I1178+I1181+I1182+I1184+I1185+I1186+I1187+I1188+I1190+I1191+I1192+I1195+1530000</f>
        <v>15222000</v>
      </c>
      <c r="J1171" s="405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404">
        <v>4143</v>
      </c>
      <c r="B1172" s="405">
        <f t="shared" si="45"/>
        <v>0.48696220888901526</v>
      </c>
      <c r="C1172" s="406" t="s">
        <v>99</v>
      </c>
      <c r="D1172" s="406">
        <v>466629</v>
      </c>
      <c r="E1172" s="406">
        <f>44803.94</f>
        <v>44803.94</v>
      </c>
      <c r="F1172" s="406"/>
      <c r="G1172" s="406">
        <f>300000+550000</f>
        <v>850000</v>
      </c>
      <c r="H1172" s="406">
        <f t="shared" si="46"/>
        <v>1361432.94</v>
      </c>
      <c r="I1172" s="406"/>
      <c r="J1172" s="406">
        <f>650000+720000</f>
        <v>1370000</v>
      </c>
    </row>
    <row r="1173" spans="1:10" s="11" customFormat="1" ht="12.75">
      <c r="A1173" s="404">
        <v>4211</v>
      </c>
      <c r="B1173" s="405">
        <f t="shared" si="45"/>
        <v>0.2772485568857167</v>
      </c>
      <c r="C1173" s="406" t="s">
        <v>101</v>
      </c>
      <c r="D1173" s="406">
        <v>329191.55</v>
      </c>
      <c r="E1173" s="406"/>
      <c r="F1173" s="406"/>
      <c r="G1173" s="406">
        <f>50000+400000</f>
        <v>450000</v>
      </c>
      <c r="H1173" s="406">
        <f t="shared" si="46"/>
        <v>779191.55</v>
      </c>
      <c r="I1173" s="406">
        <v>400000</v>
      </c>
      <c r="J1173" s="406">
        <f>100000+680000</f>
        <v>780000</v>
      </c>
    </row>
    <row r="1174" spans="1:10" s="11" customFormat="1" ht="12.75">
      <c r="A1174" s="404">
        <v>4213</v>
      </c>
      <c r="B1174" s="405">
        <f t="shared" si="45"/>
        <v>0.5722694571615435</v>
      </c>
      <c r="C1174" s="406" t="s">
        <v>103</v>
      </c>
      <c r="D1174" s="406">
        <v>626053.05</v>
      </c>
      <c r="E1174" s="406">
        <v>413093.13</v>
      </c>
      <c r="F1174" s="406">
        <v>9810.89</v>
      </c>
      <c r="G1174" s="406">
        <f>50000+500000</f>
        <v>550000</v>
      </c>
      <c r="H1174" s="406">
        <f t="shared" si="46"/>
        <v>1598957.07</v>
      </c>
      <c r="I1174" s="406">
        <v>1150000</v>
      </c>
      <c r="J1174" s="406">
        <f>110000+1500000</f>
        <v>1610000</v>
      </c>
    </row>
    <row r="1175" spans="1:10" s="11" customFormat="1" ht="12.75">
      <c r="A1175" s="404">
        <v>4214</v>
      </c>
      <c r="B1175" s="405">
        <f t="shared" si="45"/>
        <v>0.2310404640714306</v>
      </c>
      <c r="C1175" s="406" t="s">
        <v>104</v>
      </c>
      <c r="D1175" s="406">
        <v>113000.52</v>
      </c>
      <c r="E1175" s="406">
        <f>239126.67+227424.36</f>
        <v>466551.03</v>
      </c>
      <c r="F1175" s="406">
        <v>9521.72</v>
      </c>
      <c r="G1175" s="406">
        <v>60000</v>
      </c>
      <c r="H1175" s="406">
        <f t="shared" si="46"/>
        <v>649073.27</v>
      </c>
      <c r="I1175" s="406">
        <f>600000</f>
        <v>600000</v>
      </c>
      <c r="J1175" s="406">
        <v>650000</v>
      </c>
    </row>
    <row r="1176" spans="1:11" s="11" customFormat="1" ht="12.75">
      <c r="A1176" s="404">
        <v>4215</v>
      </c>
      <c r="B1176" s="405">
        <f t="shared" si="45"/>
        <v>0.5687149884835215</v>
      </c>
      <c r="C1176" s="406" t="s">
        <v>169</v>
      </c>
      <c r="D1176" s="406">
        <v>670269.07</v>
      </c>
      <c r="E1176" s="406">
        <f>159178.35</f>
        <v>159178.35</v>
      </c>
      <c r="F1176" s="406"/>
      <c r="G1176" s="406">
        <v>770350</v>
      </c>
      <c r="H1176" s="406">
        <f t="shared" si="46"/>
        <v>1599797.42</v>
      </c>
      <c r="I1176" s="406">
        <v>2210000</v>
      </c>
      <c r="J1176" s="406">
        <v>1600000</v>
      </c>
      <c r="K1176" s="217"/>
    </row>
    <row r="1177" spans="1:10" s="11" customFormat="1" ht="12.75">
      <c r="A1177" s="404">
        <v>4221</v>
      </c>
      <c r="B1177" s="405">
        <f t="shared" si="45"/>
        <v>0.11018852901868229</v>
      </c>
      <c r="C1177" s="406" t="s">
        <v>105</v>
      </c>
      <c r="D1177" s="406">
        <v>87806.81</v>
      </c>
      <c r="E1177" s="406"/>
      <c r="F1177" s="406"/>
      <c r="G1177" s="406">
        <f>120000+100000</f>
        <v>220000</v>
      </c>
      <c r="H1177" s="406">
        <f t="shared" si="46"/>
        <v>307806.81</v>
      </c>
      <c r="I1177" s="406"/>
      <c r="J1177" s="406">
        <f>210000+100000</f>
        <v>310000</v>
      </c>
    </row>
    <row r="1178" spans="1:10" s="11" customFormat="1" ht="12.75">
      <c r="A1178" s="404">
        <v>4232</v>
      </c>
      <c r="B1178" s="405">
        <f t="shared" si="45"/>
        <v>0.06611311741120937</v>
      </c>
      <c r="C1178" s="406" t="s">
        <v>106</v>
      </c>
      <c r="D1178" s="406">
        <v>68748</v>
      </c>
      <c r="E1178" s="406">
        <f>4374.66</f>
        <v>4374.66</v>
      </c>
      <c r="F1178" s="406"/>
      <c r="G1178" s="406">
        <f>26000+80000</f>
        <v>106000</v>
      </c>
      <c r="H1178" s="406">
        <f t="shared" si="46"/>
        <v>179122.66</v>
      </c>
      <c r="I1178" s="406">
        <v>100000</v>
      </c>
      <c r="J1178" s="406">
        <v>186000</v>
      </c>
    </row>
    <row r="1179" spans="1:10" s="11" customFormat="1" ht="12.75">
      <c r="A1179" s="404">
        <v>4233</v>
      </c>
      <c r="B1179" s="405">
        <f t="shared" si="45"/>
        <v>0.10663406034066028</v>
      </c>
      <c r="C1179" s="406" t="s">
        <v>107</v>
      </c>
      <c r="D1179" s="406">
        <v>155027.99</v>
      </c>
      <c r="E1179" s="406"/>
      <c r="F1179" s="406"/>
      <c r="G1179" s="406">
        <v>150000</v>
      </c>
      <c r="H1179" s="406">
        <f t="shared" si="46"/>
        <v>305027.99</v>
      </c>
      <c r="I1179" s="406"/>
      <c r="J1179" s="406">
        <f>300000</f>
        <v>300000</v>
      </c>
    </row>
    <row r="1180" spans="1:10" s="11" customFormat="1" ht="12.75">
      <c r="A1180" s="404">
        <v>4234</v>
      </c>
      <c r="B1180" s="405">
        <f t="shared" si="45"/>
        <v>0.046208092814286124</v>
      </c>
      <c r="C1180" s="406" t="s">
        <v>108</v>
      </c>
      <c r="D1180" s="406">
        <v>60480.43</v>
      </c>
      <c r="E1180" s="406">
        <v>3402</v>
      </c>
      <c r="F1180" s="406">
        <v>10000</v>
      </c>
      <c r="G1180" s="406">
        <v>60000</v>
      </c>
      <c r="H1180" s="406">
        <f t="shared" si="46"/>
        <v>133882.43</v>
      </c>
      <c r="I1180" s="406"/>
      <c r="J1180" s="406">
        <f>130000</f>
        <v>130000</v>
      </c>
    </row>
    <row r="1181" spans="1:10" s="11" customFormat="1" ht="12.75">
      <c r="A1181" s="404">
        <v>4235</v>
      </c>
      <c r="B1181" s="405">
        <f t="shared" si="45"/>
        <v>0.3199021810219808</v>
      </c>
      <c r="C1181" s="406" t="s">
        <v>109</v>
      </c>
      <c r="D1181" s="406">
        <v>189790.15</v>
      </c>
      <c r="E1181" s="406">
        <v>23750</v>
      </c>
      <c r="F1181" s="406">
        <v>15000</v>
      </c>
      <c r="G1181" s="406">
        <f>180000+500000</f>
        <v>680000</v>
      </c>
      <c r="H1181" s="406">
        <f t="shared" si="46"/>
        <v>908540.15</v>
      </c>
      <c r="I1181" s="406">
        <v>50000</v>
      </c>
      <c r="J1181" s="406">
        <f>400000+500000</f>
        <v>900000</v>
      </c>
    </row>
    <row r="1182" spans="1:10" s="11" customFormat="1" ht="12.75">
      <c r="A1182" s="404">
        <v>4236</v>
      </c>
      <c r="B1182" s="405">
        <f t="shared" si="45"/>
        <v>0.6575767054340718</v>
      </c>
      <c r="C1182" s="406" t="s">
        <v>110</v>
      </c>
      <c r="D1182" s="406">
        <v>612933.3</v>
      </c>
      <c r="E1182" s="406">
        <f>362597.22</f>
        <v>362597.22</v>
      </c>
      <c r="F1182" s="406"/>
      <c r="G1182" s="406">
        <f>880000</f>
        <v>880000</v>
      </c>
      <c r="H1182" s="406">
        <f t="shared" si="46"/>
        <v>1855530.52</v>
      </c>
      <c r="I1182" s="406">
        <v>2800000</v>
      </c>
      <c r="J1182" s="406">
        <v>1850000</v>
      </c>
    </row>
    <row r="1183" spans="1:10" s="11" customFormat="1" ht="12.75">
      <c r="A1183" s="404">
        <v>4237</v>
      </c>
      <c r="B1183" s="405">
        <f t="shared" si="45"/>
        <v>0.0390991554582421</v>
      </c>
      <c r="C1183" s="406" t="s">
        <v>47</v>
      </c>
      <c r="D1183" s="406">
        <v>6768.34</v>
      </c>
      <c r="E1183" s="406"/>
      <c r="F1183" s="406"/>
      <c r="G1183" s="406">
        <f>100000</f>
        <v>100000</v>
      </c>
      <c r="H1183" s="406">
        <f t="shared" si="46"/>
        <v>106768.34</v>
      </c>
      <c r="I1183" s="406"/>
      <c r="J1183" s="406">
        <f>110000</f>
        <v>110000</v>
      </c>
    </row>
    <row r="1184" spans="1:10" s="11" customFormat="1" ht="12.75">
      <c r="A1184" s="404">
        <v>4239</v>
      </c>
      <c r="B1184" s="405">
        <f t="shared" si="45"/>
        <v>0.14217874712088038</v>
      </c>
      <c r="C1184" s="406" t="s">
        <v>48</v>
      </c>
      <c r="D1184" s="406">
        <v>26048</v>
      </c>
      <c r="E1184" s="406">
        <v>111073.64</v>
      </c>
      <c r="F1184" s="406"/>
      <c r="G1184" s="406">
        <f>80000+170000</f>
        <v>250000</v>
      </c>
      <c r="H1184" s="406">
        <f t="shared" si="46"/>
        <v>387121.64</v>
      </c>
      <c r="I1184" s="406">
        <v>150000</v>
      </c>
      <c r="J1184" s="406">
        <f>200000+200000</f>
        <v>400000</v>
      </c>
    </row>
    <row r="1185" spans="1:10" s="11" customFormat="1" ht="12.75">
      <c r="A1185" s="404">
        <v>4243</v>
      </c>
      <c r="B1185" s="405">
        <f t="shared" si="45"/>
        <v>0.12440640373077032</v>
      </c>
      <c r="C1185" s="406" t="s">
        <v>111</v>
      </c>
      <c r="D1185" s="406">
        <v>0</v>
      </c>
      <c r="E1185" s="406">
        <f>41800</f>
        <v>41800</v>
      </c>
      <c r="F1185" s="406"/>
      <c r="G1185" s="406">
        <v>300000</v>
      </c>
      <c r="H1185" s="406">
        <f t="shared" si="46"/>
        <v>341800</v>
      </c>
      <c r="I1185" s="406">
        <v>120000</v>
      </c>
      <c r="J1185" s="406">
        <v>350000</v>
      </c>
    </row>
    <row r="1186" spans="1:10" s="11" customFormat="1" ht="12.75">
      <c r="A1186" s="404">
        <v>4251</v>
      </c>
      <c r="B1186" s="405">
        <f t="shared" si="45"/>
        <v>0.373219211192311</v>
      </c>
      <c r="C1186" s="406" t="s">
        <v>112</v>
      </c>
      <c r="D1186" s="406">
        <v>56775.46</v>
      </c>
      <c r="E1186" s="406"/>
      <c r="F1186" s="406"/>
      <c r="G1186" s="406">
        <f>980000+280000</f>
        <v>1260000</v>
      </c>
      <c r="H1186" s="406">
        <f t="shared" si="46"/>
        <v>1316775.46</v>
      </c>
      <c r="I1186" s="406">
        <v>162000</v>
      </c>
      <c r="J1186" s="406">
        <f>1050000</f>
        <v>1050000</v>
      </c>
    </row>
    <row r="1187" spans="1:10" s="11" customFormat="1" ht="12.75">
      <c r="A1187" s="404">
        <v>4252</v>
      </c>
      <c r="B1187" s="405">
        <f t="shared" si="45"/>
        <v>0.4229817726846191</v>
      </c>
      <c r="C1187" s="406" t="s">
        <v>113</v>
      </c>
      <c r="D1187" s="406">
        <v>260781.8</v>
      </c>
      <c r="E1187" s="406">
        <f>244802.6</f>
        <v>244802.6</v>
      </c>
      <c r="F1187" s="406"/>
      <c r="G1187" s="406">
        <f>400000</f>
        <v>400000</v>
      </c>
      <c r="H1187" s="406">
        <f t="shared" si="46"/>
        <v>905584.4</v>
      </c>
      <c r="I1187" s="406">
        <v>2200000</v>
      </c>
      <c r="J1187" s="406">
        <f>110000+800000+280000</f>
        <v>1190000</v>
      </c>
    </row>
    <row r="1188" spans="1:10" s="11" customFormat="1" ht="12.75">
      <c r="A1188" s="404">
        <v>4261</v>
      </c>
      <c r="B1188" s="405">
        <f t="shared" si="45"/>
        <v>0.5331703017033014</v>
      </c>
      <c r="C1188" s="406" t="s">
        <v>114</v>
      </c>
      <c r="D1188" s="406">
        <v>453318.08</v>
      </c>
      <c r="E1188" s="406">
        <f>489982.16</f>
        <v>489982.16</v>
      </c>
      <c r="F1188" s="406"/>
      <c r="G1188" s="406">
        <f>500000</f>
        <v>500000</v>
      </c>
      <c r="H1188" s="406">
        <f t="shared" si="46"/>
        <v>1443300.24</v>
      </c>
      <c r="I1188" s="406">
        <v>1150000</v>
      </c>
      <c r="J1188" s="406">
        <v>1500000</v>
      </c>
    </row>
    <row r="1189" spans="1:10" s="11" customFormat="1" ht="12.75">
      <c r="A1189" s="404">
        <v>4263</v>
      </c>
      <c r="B1189" s="405">
        <f t="shared" si="45"/>
        <v>0.05331703017033014</v>
      </c>
      <c r="C1189" s="406" t="s">
        <v>115</v>
      </c>
      <c r="D1189" s="406">
        <v>77900</v>
      </c>
      <c r="E1189" s="406"/>
      <c r="F1189" s="406"/>
      <c r="G1189" s="406">
        <v>70000</v>
      </c>
      <c r="H1189" s="406">
        <f t="shared" si="46"/>
        <v>147900</v>
      </c>
      <c r="I1189" s="406"/>
      <c r="J1189" s="406">
        <f>150000</f>
        <v>150000</v>
      </c>
    </row>
    <row r="1190" spans="1:10" s="11" customFormat="1" ht="12.75">
      <c r="A1190" s="404">
        <v>4264</v>
      </c>
      <c r="B1190" s="405">
        <f t="shared" si="45"/>
        <v>0.3021298376318708</v>
      </c>
      <c r="C1190" s="406" t="s">
        <v>116</v>
      </c>
      <c r="D1190" s="406">
        <v>293820.82</v>
      </c>
      <c r="E1190" s="406">
        <f>158684.04</f>
        <v>158684.04</v>
      </c>
      <c r="F1190" s="406"/>
      <c r="G1190" s="406">
        <f>400000</f>
        <v>400000</v>
      </c>
      <c r="H1190" s="406">
        <f t="shared" si="46"/>
        <v>852504.86</v>
      </c>
      <c r="I1190" s="406"/>
      <c r="J1190" s="406">
        <v>850000</v>
      </c>
    </row>
    <row r="1191" spans="1:10" s="11" customFormat="1" ht="12.75">
      <c r="A1191" s="404">
        <v>4268</v>
      </c>
      <c r="B1191" s="405">
        <f t="shared" si="45"/>
        <v>0.10663406034066028</v>
      </c>
      <c r="C1191" s="406" t="s">
        <v>118</v>
      </c>
      <c r="D1191" s="406">
        <v>76558.97</v>
      </c>
      <c r="E1191" s="406">
        <f>4172.48</f>
        <v>4172.48</v>
      </c>
      <c r="F1191" s="406"/>
      <c r="G1191" s="406">
        <f>220000</f>
        <v>220000</v>
      </c>
      <c r="H1191" s="406">
        <f t="shared" si="46"/>
        <v>300731.45</v>
      </c>
      <c r="I1191" s="406">
        <v>300000</v>
      </c>
      <c r="J1191" s="406">
        <v>300000</v>
      </c>
    </row>
    <row r="1192" spans="1:10" s="11" customFormat="1" ht="12.75">
      <c r="A1192" s="404">
        <v>4269</v>
      </c>
      <c r="B1192" s="405">
        <f t="shared" si="45"/>
        <v>0.1954957772912105</v>
      </c>
      <c r="C1192" s="406" t="s">
        <v>119</v>
      </c>
      <c r="D1192" s="406">
        <v>84536</v>
      </c>
      <c r="E1192" s="406">
        <f>175274.69</f>
        <v>175274.69</v>
      </c>
      <c r="F1192" s="406"/>
      <c r="G1192" s="406">
        <f>230000</f>
        <v>230000</v>
      </c>
      <c r="H1192" s="406">
        <f t="shared" si="46"/>
        <v>489810.69</v>
      </c>
      <c r="I1192" s="406">
        <v>100000</v>
      </c>
      <c r="J1192" s="406">
        <f>50000+500000</f>
        <v>550000</v>
      </c>
    </row>
    <row r="1193" spans="1:10" s="11" customFormat="1" ht="12.75">
      <c r="A1193" s="404">
        <v>4442</v>
      </c>
      <c r="B1193" s="405">
        <f t="shared" si="45"/>
        <v>0.035544686780220096</v>
      </c>
      <c r="C1193" s="406" t="s">
        <v>85</v>
      </c>
      <c r="D1193" s="406">
        <v>5347.14</v>
      </c>
      <c r="E1193" s="406">
        <v>47605.61</v>
      </c>
      <c r="F1193" s="406">
        <v>21245.94</v>
      </c>
      <c r="G1193" s="406">
        <v>20000</v>
      </c>
      <c r="H1193" s="406">
        <f t="shared" si="46"/>
        <v>94198.69</v>
      </c>
      <c r="I1193" s="406"/>
      <c r="J1193" s="406">
        <v>100000</v>
      </c>
    </row>
    <row r="1194" spans="1:10" s="11" customFormat="1" ht="12.75">
      <c r="A1194" s="404">
        <v>4821</v>
      </c>
      <c r="B1194" s="405">
        <f t="shared" si="45"/>
        <v>0.0014217874712088036</v>
      </c>
      <c r="C1194" s="406" t="s">
        <v>87</v>
      </c>
      <c r="D1194" s="406">
        <v>3142.5</v>
      </c>
      <c r="E1194" s="406"/>
      <c r="F1194" s="406"/>
      <c r="G1194" s="406"/>
      <c r="H1194" s="406">
        <f t="shared" si="46"/>
        <v>3142.5</v>
      </c>
      <c r="I1194" s="406"/>
      <c r="J1194" s="406">
        <v>4000</v>
      </c>
    </row>
    <row r="1195" spans="1:10" s="11" customFormat="1" ht="12.75">
      <c r="A1195" s="404"/>
      <c r="B1195" s="405">
        <f t="shared" si="45"/>
        <v>0</v>
      </c>
      <c r="C1195" s="406" t="s">
        <v>265</v>
      </c>
      <c r="D1195" s="406"/>
      <c r="E1195" s="406"/>
      <c r="F1195" s="406"/>
      <c r="G1195" s="406"/>
      <c r="H1195" s="406">
        <f t="shared" si="46"/>
        <v>0</v>
      </c>
      <c r="I1195" s="406">
        <v>2200000</v>
      </c>
      <c r="J1195" s="406"/>
    </row>
    <row r="1196" spans="1:10" s="11" customFormat="1" ht="12.75">
      <c r="A1196" s="404">
        <v>4822</v>
      </c>
      <c r="B1196" s="405">
        <f t="shared" si="45"/>
        <v>0.10663406034066028</v>
      </c>
      <c r="C1196" s="406" t="s">
        <v>90</v>
      </c>
      <c r="D1196" s="406">
        <v>140332</v>
      </c>
      <c r="E1196" s="406">
        <v>1760.4</v>
      </c>
      <c r="F1196" s="406"/>
      <c r="G1196" s="406">
        <v>150000</v>
      </c>
      <c r="H1196" s="406">
        <f t="shared" si="46"/>
        <v>292092.4</v>
      </c>
      <c r="I1196" s="406"/>
      <c r="J1196" s="406">
        <f>100000+200000</f>
        <v>300000</v>
      </c>
    </row>
    <row r="1197" spans="1:10" s="11" customFormat="1" ht="12.75">
      <c r="A1197" s="404"/>
      <c r="B1197" s="405">
        <f t="shared" si="45"/>
        <v>5.002914664315978</v>
      </c>
      <c r="C1197" s="405" t="s">
        <v>180</v>
      </c>
      <c r="D1197" s="405">
        <v>2138892.28</v>
      </c>
      <c r="E1197" s="405">
        <f>3293769.29</f>
        <v>3293769.29</v>
      </c>
      <c r="F1197" s="405">
        <v>321236.36</v>
      </c>
      <c r="G1197" s="405">
        <f>8300000</f>
        <v>8300000</v>
      </c>
      <c r="H1197" s="405">
        <f t="shared" si="46"/>
        <v>14053897.93</v>
      </c>
      <c r="I1197" s="405">
        <v>14025000</v>
      </c>
      <c r="J1197" s="405">
        <f>50000+14025000</f>
        <v>14075000</v>
      </c>
    </row>
    <row r="1198" spans="1:11" s="11" customFormat="1" ht="12.75">
      <c r="A1198" s="404"/>
      <c r="B1198" s="405">
        <f t="shared" si="45"/>
        <v>3.787641823300253</v>
      </c>
      <c r="C1198" s="405" t="s">
        <v>182</v>
      </c>
      <c r="D1198" s="405">
        <v>1408503.96</v>
      </c>
      <c r="E1198" s="405">
        <f>49680.95+1243349.98+4800000</f>
        <v>6093030.93</v>
      </c>
      <c r="F1198" s="405">
        <f>267297.24+757008.88+130000</f>
        <v>1154306.12</v>
      </c>
      <c r="G1198" s="405">
        <f>2000000</f>
        <v>2000000</v>
      </c>
      <c r="H1198" s="405">
        <f t="shared" si="46"/>
        <v>10655841.01</v>
      </c>
      <c r="I1198" s="405">
        <f>5356000+5800000</f>
        <v>11156000</v>
      </c>
      <c r="J1198" s="405">
        <f>5300000+5356000</f>
        <v>10656000</v>
      </c>
      <c r="K1198" s="217"/>
    </row>
    <row r="1199" spans="1:10" s="11" customFormat="1" ht="12.75">
      <c r="A1199" s="404"/>
      <c r="B1199" s="405">
        <f t="shared" si="45"/>
        <v>3.897474905451133</v>
      </c>
      <c r="C1199" s="405" t="s">
        <v>183</v>
      </c>
      <c r="D1199" s="405">
        <v>1520929.89</v>
      </c>
      <c r="E1199" s="405">
        <f>2174901.52+5000000</f>
        <v>7174901.52</v>
      </c>
      <c r="F1199" s="405">
        <v>269168.59</v>
      </c>
      <c r="G1199" s="405">
        <f>2000000</f>
        <v>2000000</v>
      </c>
      <c r="H1199" s="405">
        <f t="shared" si="46"/>
        <v>10965000</v>
      </c>
      <c r="I1199" s="405">
        <f>5965000+8190000</f>
        <v>14155000</v>
      </c>
      <c r="J1199" s="405">
        <f>5000000+5965000</f>
        <v>10965000</v>
      </c>
    </row>
    <row r="1200" spans="1:10" s="11" customFormat="1" ht="12.75">
      <c r="A1200" s="404"/>
      <c r="B1200" s="405">
        <f t="shared" si="45"/>
        <v>100.7108937356044</v>
      </c>
      <c r="C1200" s="405" t="s">
        <v>287</v>
      </c>
      <c r="D1200" s="405">
        <v>109368695.52000001</v>
      </c>
      <c r="E1200" s="405">
        <f>E1168+E1169+E1171+E1197+E1198+E1199</f>
        <v>19325527.689999998</v>
      </c>
      <c r="F1200" s="405">
        <f>F1168+F1169+F1171+F1197+F1198+F1199</f>
        <v>1810289.62</v>
      </c>
      <c r="G1200" s="405">
        <f>G1168+G1169+G1171+G1197+G1198+G1199</f>
        <v>154566350</v>
      </c>
      <c r="H1200" s="405">
        <f t="shared" si="46"/>
        <v>285070862.83000004</v>
      </c>
      <c r="I1200" s="405">
        <f>I1199+I1198+I1197+I1171+I1170+I1169+I1168</f>
        <v>282136725</v>
      </c>
      <c r="J1200" s="405">
        <f>J1199+J1198+J1197+J1171+J1170+J1169+J1168</f>
        <v>283336000</v>
      </c>
    </row>
    <row r="1201" spans="1:10" s="11" customFormat="1" ht="12.75">
      <c r="A1201" s="402"/>
      <c r="B1201" s="407"/>
      <c r="C1201" s="407"/>
      <c r="D1201" s="407"/>
      <c r="E1201" s="407"/>
      <c r="F1201" s="407"/>
      <c r="G1201" s="407"/>
      <c r="H1201" s="407"/>
      <c r="I1201" s="407"/>
      <c r="J1201" s="407"/>
    </row>
    <row r="1202" spans="1:10" s="11" customFormat="1" ht="12.75">
      <c r="A1202" s="402"/>
      <c r="B1202" s="407"/>
      <c r="C1202" s="407"/>
      <c r="D1202" s="407"/>
      <c r="E1202" s="407"/>
      <c r="F1202" s="407"/>
      <c r="G1202" s="407"/>
      <c r="H1202" s="407"/>
      <c r="I1202" s="407"/>
      <c r="J1202" s="407"/>
    </row>
    <row r="1203" spans="1:10" s="11" customFormat="1" ht="12.75">
      <c r="A1203" s="402"/>
      <c r="B1203" s="407"/>
      <c r="C1203" s="407"/>
      <c r="D1203" s="407"/>
      <c r="E1203" s="407"/>
      <c r="F1203" s="407"/>
      <c r="G1203" s="407"/>
      <c r="H1203" s="407"/>
      <c r="I1203" s="407"/>
      <c r="J1203" s="407"/>
    </row>
    <row r="1204" spans="1:10" s="11" customFormat="1" ht="12.75">
      <c r="A1204" s="402"/>
      <c r="B1204" s="407"/>
      <c r="C1204" s="407"/>
      <c r="D1204" s="407"/>
      <c r="E1204" s="407"/>
      <c r="F1204" s="407"/>
      <c r="G1204" s="407"/>
      <c r="H1204" s="407"/>
      <c r="I1204" s="407"/>
      <c r="J1204" s="407"/>
    </row>
    <row r="1205" spans="1:10" s="11" customFormat="1" ht="12.75">
      <c r="A1205" s="402"/>
      <c r="B1205" s="407"/>
      <c r="C1205" s="401" t="s">
        <v>281</v>
      </c>
      <c r="D1205" s="401"/>
      <c r="E1205" s="401"/>
      <c r="F1205" s="401"/>
      <c r="G1205" s="400"/>
      <c r="H1205" s="407"/>
      <c r="I1205" s="408"/>
      <c r="J1205" s="408"/>
    </row>
    <row r="1206" spans="1:10" ht="12.75">
      <c r="A1206" s="402" t="s">
        <v>282</v>
      </c>
      <c r="B1206" s="407"/>
      <c r="C1206" s="407"/>
      <c r="D1206" s="407"/>
      <c r="E1206" s="407"/>
      <c r="F1206" s="407"/>
      <c r="G1206" s="407"/>
      <c r="H1206" s="407"/>
      <c r="I1206" s="407" t="s">
        <v>310</v>
      </c>
      <c r="J1206" s="407"/>
    </row>
    <row r="1207" spans="1:10" ht="45">
      <c r="A1207" s="403" t="s">
        <v>0</v>
      </c>
      <c r="B1207" s="403" t="s">
        <v>208</v>
      </c>
      <c r="C1207" s="403" t="s">
        <v>1</v>
      </c>
      <c r="D1207" s="403" t="s">
        <v>247</v>
      </c>
      <c r="E1207" s="403" t="s">
        <v>248</v>
      </c>
      <c r="F1207" s="403" t="s">
        <v>254</v>
      </c>
      <c r="G1207" s="403" t="s">
        <v>253</v>
      </c>
      <c r="H1207" s="403" t="s">
        <v>261</v>
      </c>
      <c r="I1207" s="403" t="s">
        <v>201</v>
      </c>
      <c r="J1207" s="403" t="s">
        <v>249</v>
      </c>
    </row>
    <row r="1208" spans="1:10" ht="12.75">
      <c r="A1208" s="409"/>
      <c r="B1208" s="409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9"/>
      <c r="B1209" s="409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9"/>
      <c r="B1210" s="409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9"/>
      <c r="B1211" s="409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9"/>
      <c r="B1212" s="409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9"/>
      <c r="B1213" s="409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9"/>
      <c r="B1214" s="409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9"/>
      <c r="B1215" s="409"/>
      <c r="C1215" s="405" t="s">
        <v>327</v>
      </c>
      <c r="D1215" s="405"/>
      <c r="E1215" s="405"/>
      <c r="F1215" s="405"/>
      <c r="G1215" s="405"/>
      <c r="H1215" s="405"/>
      <c r="I1215" s="405">
        <f>SUM(I1209:I1214)</f>
        <v>14937475</v>
      </c>
      <c r="J1215" s="405">
        <f>SUM(J1209:J1214)</f>
        <v>16151200</v>
      </c>
    </row>
    <row r="1216" spans="1:10" ht="12.75">
      <c r="A1216" s="409"/>
      <c r="B1216" s="409"/>
      <c r="C1216" s="405" t="s">
        <v>260</v>
      </c>
      <c r="D1216" s="405"/>
      <c r="E1216" s="405"/>
      <c r="F1216" s="405"/>
      <c r="G1216" s="405"/>
      <c r="H1216" s="405"/>
      <c r="I1216" s="405">
        <v>293260000</v>
      </c>
      <c r="J1216" s="405">
        <f>J1200+J1215</f>
        <v>299487200</v>
      </c>
    </row>
    <row r="1217" spans="1:10" ht="12.75">
      <c r="A1217" s="410"/>
      <c r="B1217" s="410"/>
      <c r="C1217" s="407"/>
      <c r="D1217" s="407"/>
      <c r="E1217" s="407"/>
      <c r="F1217" s="407"/>
      <c r="G1217" s="407"/>
      <c r="H1217" s="407"/>
      <c r="I1217" s="407"/>
      <c r="J1217" s="407"/>
    </row>
    <row r="1218" spans="1:10" ht="12.75">
      <c r="A1218" s="410"/>
      <c r="B1218" s="410"/>
      <c r="C1218" s="407"/>
      <c r="D1218" s="407"/>
      <c r="E1218" s="407"/>
      <c r="F1218" s="407"/>
      <c r="G1218" s="407"/>
      <c r="H1218" s="407"/>
      <c r="I1218" s="407"/>
      <c r="J1218" s="407"/>
    </row>
    <row r="1219" spans="1:10" ht="12.75">
      <c r="A1219" s="410"/>
      <c r="B1219" s="410"/>
      <c r="C1219" s="407"/>
      <c r="D1219" s="407"/>
      <c r="E1219" s="407"/>
      <c r="F1219" s="407"/>
      <c r="G1219" s="407"/>
      <c r="H1219" s="407"/>
      <c r="I1219" s="407"/>
      <c r="J1219" s="407"/>
    </row>
    <row r="1220" spans="1:10" ht="12.75">
      <c r="A1220" s="410"/>
      <c r="B1220" s="410"/>
      <c r="C1220" s="407"/>
      <c r="D1220" s="407"/>
      <c r="E1220" s="407"/>
      <c r="F1220" s="407"/>
      <c r="G1220" s="407"/>
      <c r="H1220" s="407"/>
      <c r="I1220" s="407"/>
      <c r="J1220" s="407"/>
    </row>
    <row r="1221" spans="1:10" ht="12.75">
      <c r="A1221" s="410"/>
      <c r="B1221" s="410"/>
      <c r="C1221" s="407"/>
      <c r="D1221" s="407"/>
      <c r="E1221" s="407"/>
      <c r="F1221" s="407"/>
      <c r="G1221" s="407"/>
      <c r="H1221" s="407"/>
      <c r="I1221" s="407"/>
      <c r="J1221" s="407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361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744" t="s">
        <v>340</v>
      </c>
      <c r="E1718" s="744"/>
      <c r="F1718" s="744"/>
      <c r="G1718" s="744" t="s">
        <v>347</v>
      </c>
      <c r="H1718" s="744"/>
      <c r="I1718" s="744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85">
      <selection activeCell="D90" sqref="D90"/>
    </sheetView>
  </sheetViews>
  <sheetFormatPr defaultColWidth="9.140625" defaultRowHeight="12.75"/>
  <cols>
    <col min="1" max="1" width="10.7109375" style="0" customWidth="1"/>
    <col min="3" max="3" width="25.57421875" style="0" customWidth="1"/>
    <col min="4" max="4" width="12.57421875" style="0" customWidth="1"/>
    <col min="5" max="5" width="12.7109375" style="0" customWidth="1"/>
    <col min="6" max="7" width="13.28125" style="0" customWidth="1"/>
    <col min="8" max="9" width="12.8515625" style="0" customWidth="1"/>
    <col min="10" max="10" width="13.28125" style="0" customWidth="1"/>
  </cols>
  <sheetData>
    <row r="1" spans="1:10" ht="12.75">
      <c r="A1" s="146"/>
      <c r="B1" s="223" t="s">
        <v>362</v>
      </c>
      <c r="C1" s="223"/>
      <c r="D1" s="223"/>
      <c r="E1" s="223"/>
      <c r="F1" s="146"/>
      <c r="G1" s="146"/>
      <c r="H1" s="146"/>
      <c r="I1" s="146"/>
      <c r="J1" s="146"/>
    </row>
    <row r="2" spans="1:10" ht="12.75">
      <c r="A2" s="146"/>
      <c r="B2" s="223" t="s">
        <v>363</v>
      </c>
      <c r="C2" s="223"/>
      <c r="D2" s="223"/>
      <c r="E2" s="223"/>
      <c r="F2" s="146"/>
      <c r="G2" s="146"/>
      <c r="H2" s="146"/>
      <c r="I2" s="146"/>
      <c r="J2" s="146"/>
    </row>
    <row r="3" spans="1:10" ht="12.75">
      <c r="A3" s="146"/>
      <c r="B3" s="223"/>
      <c r="C3" s="223"/>
      <c r="D3" s="223"/>
      <c r="E3" s="223"/>
      <c r="F3" s="146"/>
      <c r="G3" s="146"/>
      <c r="H3" s="146"/>
      <c r="I3" s="146"/>
      <c r="J3" s="146"/>
    </row>
    <row r="4" spans="1:10" ht="12.75">
      <c r="A4" s="146"/>
      <c r="B4" s="223" t="s">
        <v>369</v>
      </c>
      <c r="C4" s="223"/>
      <c r="D4" s="223"/>
      <c r="E4" s="223"/>
      <c r="F4" s="146"/>
      <c r="G4" s="146"/>
      <c r="H4" s="146"/>
      <c r="I4" s="146"/>
      <c r="J4" s="146"/>
    </row>
    <row r="5" spans="1:11" ht="12.75">
      <c r="A5" s="168"/>
      <c r="B5" s="168"/>
      <c r="C5" s="412"/>
      <c r="D5" s="744" t="s">
        <v>364</v>
      </c>
      <c r="E5" s="744"/>
      <c r="F5" s="744"/>
      <c r="G5" s="744" t="s">
        <v>367</v>
      </c>
      <c r="H5" s="748"/>
      <c r="I5" s="748"/>
      <c r="J5" s="744" t="s">
        <v>378</v>
      </c>
      <c r="K5" s="749"/>
    </row>
    <row r="6" spans="1:11" ht="33.75">
      <c r="A6" s="216" t="s">
        <v>0</v>
      </c>
      <c r="B6" s="750" t="s">
        <v>1</v>
      </c>
      <c r="C6" s="750"/>
      <c r="D6" s="216" t="s">
        <v>357</v>
      </c>
      <c r="E6" s="216" t="s">
        <v>365</v>
      </c>
      <c r="F6" s="216" t="s">
        <v>366</v>
      </c>
      <c r="G6" s="216" t="s">
        <v>357</v>
      </c>
      <c r="H6" s="216" t="s">
        <v>383</v>
      </c>
      <c r="I6" s="216" t="s">
        <v>366</v>
      </c>
      <c r="J6" s="216" t="s">
        <v>370</v>
      </c>
      <c r="K6" s="216" t="s">
        <v>380</v>
      </c>
    </row>
    <row r="7" spans="1:11" ht="12.75">
      <c r="A7" s="155"/>
      <c r="B7" s="106" t="s">
        <v>255</v>
      </c>
      <c r="C7" s="106"/>
      <c r="D7" s="106">
        <f>7500000+216220000</f>
        <v>223720000</v>
      </c>
      <c r="E7" s="106">
        <v>216220000</v>
      </c>
      <c r="F7" s="106">
        <v>7500000</v>
      </c>
      <c r="G7" s="90">
        <f>H7+I7</f>
        <v>220405000</v>
      </c>
      <c r="H7" s="90">
        <v>214280000</v>
      </c>
      <c r="I7" s="106">
        <v>6125000</v>
      </c>
      <c r="J7" s="414">
        <f>G7-D7</f>
        <v>-3315000</v>
      </c>
      <c r="K7" s="90">
        <f>G7*100/D7</f>
        <v>98.51823708206688</v>
      </c>
    </row>
    <row r="8" spans="1:11" ht="12.75">
      <c r="A8" s="155">
        <v>4131</v>
      </c>
      <c r="B8" s="752" t="s">
        <v>384</v>
      </c>
      <c r="C8" s="753"/>
      <c r="D8" s="106">
        <f>380000+4000000</f>
        <v>4380000</v>
      </c>
      <c r="E8" s="106">
        <v>4000000</v>
      </c>
      <c r="F8" s="106">
        <v>380000</v>
      </c>
      <c r="G8" s="90">
        <f aca="true" t="shared" si="0" ref="G8:G39">H8+I8</f>
        <v>6736000</v>
      </c>
      <c r="H8" s="90">
        <v>5300000</v>
      </c>
      <c r="I8" s="106">
        <v>1436000</v>
      </c>
      <c r="J8" s="414">
        <f aca="true" t="shared" si="1" ref="J8:J39">G8-D8</f>
        <v>2356000</v>
      </c>
      <c r="K8" s="84">
        <f aca="true" t="shared" si="2" ref="K8:K40">G8*100/D8</f>
        <v>153.78995433789953</v>
      </c>
    </row>
    <row r="9" spans="1:11" ht="12.75">
      <c r="A9" s="155">
        <v>4141</v>
      </c>
      <c r="B9" s="106" t="s">
        <v>98</v>
      </c>
      <c r="C9" s="106"/>
      <c r="D9" s="106">
        <v>3000000</v>
      </c>
      <c r="E9" s="106"/>
      <c r="F9" s="106">
        <v>3000000</v>
      </c>
      <c r="G9" s="90">
        <f t="shared" si="0"/>
        <v>3430000</v>
      </c>
      <c r="H9" s="90"/>
      <c r="I9" s="106">
        <v>3430000</v>
      </c>
      <c r="J9" s="414">
        <f t="shared" si="1"/>
        <v>430000</v>
      </c>
      <c r="K9" s="84">
        <f t="shared" si="2"/>
        <v>114.33333333333333</v>
      </c>
    </row>
    <row r="10" spans="1:11" ht="12.75">
      <c r="A10" s="155"/>
      <c r="B10" s="106" t="s">
        <v>179</v>
      </c>
      <c r="C10" s="106"/>
      <c r="D10" s="106">
        <f>D11+D13+D14+D15+D16+D17+D18+D19+D20+D21+D22+D23+D24+D25+D27+D28+D29+D30+D31+D32+D33+D34+D35+D36</f>
        <v>16540000</v>
      </c>
      <c r="E10" s="106">
        <v>12934000</v>
      </c>
      <c r="F10" s="106">
        <v>3606000</v>
      </c>
      <c r="G10" s="90">
        <f t="shared" si="0"/>
        <v>27608000</v>
      </c>
      <c r="H10" s="90">
        <f>H11+H12+H13+H14+H15+H16+H17+H18+H19+H20+H21+H22+H23+H24+H25+H26+H27+H28+H29+H30+H31+H32+H33+H34+H35+H36</f>
        <v>21282000</v>
      </c>
      <c r="I10" s="90">
        <f>I11+I12+I13+I14+I15+I16+I17+I18+I19+I20+I21+I22+I23+I24+I25+I26+I27+I28+I29+I30+I31+I32+I33+I34+I35+I36</f>
        <v>6326000</v>
      </c>
      <c r="J10" s="90">
        <f>J11+J12+J13+J14+J15+J16+J17+J18+J19+J20+J21+J22+J23+J24+J25+J26+J27+J28+J29+J30+J31+J32+J33+J34+J35+J36</f>
        <v>10650000</v>
      </c>
      <c r="K10" s="90">
        <f t="shared" si="2"/>
        <v>166.91656590084642</v>
      </c>
    </row>
    <row r="11" spans="1:11" ht="12.75">
      <c r="A11" s="155">
        <v>4143</v>
      </c>
      <c r="B11" s="135" t="s">
        <v>99</v>
      </c>
      <c r="C11" s="135"/>
      <c r="D11" s="135">
        <f>650000+720000</f>
        <v>1370000</v>
      </c>
      <c r="E11" s="135">
        <v>720000</v>
      </c>
      <c r="F11" s="101">
        <v>650000</v>
      </c>
      <c r="G11" s="90">
        <f t="shared" si="0"/>
        <v>1593000</v>
      </c>
      <c r="H11" s="116">
        <v>643000</v>
      </c>
      <c r="I11" s="135">
        <v>950000</v>
      </c>
      <c r="J11" s="413">
        <f t="shared" si="1"/>
        <v>223000</v>
      </c>
      <c r="K11" s="84">
        <f t="shared" si="2"/>
        <v>116.27737226277372</v>
      </c>
    </row>
    <row r="12" spans="1:11" ht="12.75">
      <c r="A12" s="155">
        <v>4161</v>
      </c>
      <c r="B12" s="135" t="s">
        <v>381</v>
      </c>
      <c r="C12" s="135"/>
      <c r="D12" s="135"/>
      <c r="E12" s="135"/>
      <c r="F12" s="101"/>
      <c r="G12" s="90">
        <f t="shared" si="0"/>
        <v>10151000</v>
      </c>
      <c r="H12" s="116">
        <v>9021000</v>
      </c>
      <c r="I12" s="135">
        <v>1130000</v>
      </c>
      <c r="J12" s="413">
        <f t="shared" si="1"/>
        <v>10151000</v>
      </c>
      <c r="K12" s="84"/>
    </row>
    <row r="13" spans="1:11" ht="12.75">
      <c r="A13" s="155">
        <v>4211</v>
      </c>
      <c r="B13" s="135" t="s">
        <v>101</v>
      </c>
      <c r="C13" s="135"/>
      <c r="D13" s="135">
        <f>100000+680000</f>
        <v>780000</v>
      </c>
      <c r="E13" s="135">
        <v>680000</v>
      </c>
      <c r="F13" s="101">
        <v>100000</v>
      </c>
      <c r="G13" s="90">
        <f t="shared" si="0"/>
        <v>961000</v>
      </c>
      <c r="H13" s="116">
        <f>750000+76000</f>
        <v>826000</v>
      </c>
      <c r="I13" s="135">
        <v>135000</v>
      </c>
      <c r="J13" s="413">
        <f t="shared" si="1"/>
        <v>181000</v>
      </c>
      <c r="K13" s="84">
        <f t="shared" si="2"/>
        <v>123.2051282051282</v>
      </c>
    </row>
    <row r="14" spans="1:11" ht="12.75">
      <c r="A14" s="155">
        <v>4213</v>
      </c>
      <c r="B14" s="135" t="s">
        <v>103</v>
      </c>
      <c r="C14" s="135"/>
      <c r="D14" s="135">
        <f>110000+1500000</f>
        <v>1610000</v>
      </c>
      <c r="E14" s="135">
        <v>1500000</v>
      </c>
      <c r="F14" s="101">
        <v>110000</v>
      </c>
      <c r="G14" s="90">
        <f t="shared" si="0"/>
        <v>1984000</v>
      </c>
      <c r="H14" s="84">
        <v>1884000</v>
      </c>
      <c r="I14" s="135">
        <v>100000</v>
      </c>
      <c r="J14" s="413">
        <f t="shared" si="1"/>
        <v>374000</v>
      </c>
      <c r="K14" s="84">
        <f t="shared" si="2"/>
        <v>123.22981366459628</v>
      </c>
    </row>
    <row r="15" spans="1:11" ht="12.75">
      <c r="A15" s="155">
        <v>4214</v>
      </c>
      <c r="B15" s="135" t="s">
        <v>104</v>
      </c>
      <c r="C15" s="135"/>
      <c r="D15" s="135">
        <v>650000</v>
      </c>
      <c r="E15" s="135">
        <v>400000</v>
      </c>
      <c r="F15" s="101">
        <v>320000</v>
      </c>
      <c r="G15" s="90">
        <f t="shared" si="0"/>
        <v>964000</v>
      </c>
      <c r="H15" s="116">
        <v>574000</v>
      </c>
      <c r="I15" s="135">
        <v>390000</v>
      </c>
      <c r="J15" s="413">
        <f t="shared" si="1"/>
        <v>314000</v>
      </c>
      <c r="K15" s="84">
        <f t="shared" si="2"/>
        <v>148.30769230769232</v>
      </c>
    </row>
    <row r="16" spans="1:11" ht="12.75">
      <c r="A16" s="155">
        <v>4215</v>
      </c>
      <c r="B16" s="135" t="s">
        <v>169</v>
      </c>
      <c r="C16" s="135"/>
      <c r="D16" s="135">
        <v>1600000</v>
      </c>
      <c r="E16" s="135">
        <v>1600000</v>
      </c>
      <c r="F16" s="101"/>
      <c r="G16" s="90">
        <f t="shared" si="0"/>
        <v>1732000</v>
      </c>
      <c r="H16" s="116">
        <v>1732000</v>
      </c>
      <c r="I16" s="135"/>
      <c r="J16" s="413">
        <f t="shared" si="1"/>
        <v>132000</v>
      </c>
      <c r="K16" s="84">
        <f t="shared" si="2"/>
        <v>108.25</v>
      </c>
    </row>
    <row r="17" spans="1:11" ht="12.75">
      <c r="A17" s="155">
        <v>4221</v>
      </c>
      <c r="B17" s="135" t="s">
        <v>105</v>
      </c>
      <c r="C17" s="135"/>
      <c r="D17" s="135">
        <f>210000+100000</f>
        <v>310000</v>
      </c>
      <c r="E17" s="135">
        <v>100000</v>
      </c>
      <c r="F17" s="101">
        <v>210000</v>
      </c>
      <c r="G17" s="90">
        <f t="shared" si="0"/>
        <v>230000</v>
      </c>
      <c r="H17" s="116"/>
      <c r="I17" s="135">
        <v>230000</v>
      </c>
      <c r="J17" s="413">
        <f t="shared" si="1"/>
        <v>-80000</v>
      </c>
      <c r="K17" s="84">
        <f t="shared" si="2"/>
        <v>74.19354838709677</v>
      </c>
    </row>
    <row r="18" spans="1:11" ht="12.75">
      <c r="A18" s="155">
        <v>4232</v>
      </c>
      <c r="B18" s="135" t="s">
        <v>106</v>
      </c>
      <c r="C18" s="135"/>
      <c r="D18" s="135">
        <v>186000</v>
      </c>
      <c r="E18" s="135">
        <v>130000</v>
      </c>
      <c r="F18" s="101">
        <v>56000</v>
      </c>
      <c r="G18" s="90">
        <f t="shared" si="0"/>
        <v>170000</v>
      </c>
      <c r="H18" s="116">
        <v>125000</v>
      </c>
      <c r="I18" s="135">
        <v>45000</v>
      </c>
      <c r="J18" s="413">
        <f t="shared" si="1"/>
        <v>-16000</v>
      </c>
      <c r="K18" s="84">
        <f t="shared" si="2"/>
        <v>91.39784946236558</v>
      </c>
    </row>
    <row r="19" spans="1:11" ht="12.75">
      <c r="A19" s="155">
        <v>4233</v>
      </c>
      <c r="B19" s="135" t="s">
        <v>107</v>
      </c>
      <c r="C19" s="135"/>
      <c r="D19" s="135">
        <f>300000</f>
        <v>300000</v>
      </c>
      <c r="E19" s="135"/>
      <c r="F19" s="101">
        <v>300000</v>
      </c>
      <c r="G19" s="90">
        <f t="shared" si="0"/>
        <v>390000</v>
      </c>
      <c r="H19" s="116"/>
      <c r="I19" s="135">
        <v>390000</v>
      </c>
      <c r="J19" s="413">
        <f t="shared" si="1"/>
        <v>90000</v>
      </c>
      <c r="K19" s="84">
        <f t="shared" si="2"/>
        <v>130</v>
      </c>
    </row>
    <row r="20" spans="1:11" ht="12.75">
      <c r="A20" s="155">
        <v>4234</v>
      </c>
      <c r="B20" s="135" t="s">
        <v>108</v>
      </c>
      <c r="C20" s="135"/>
      <c r="D20" s="135">
        <f>130000</f>
        <v>130000</v>
      </c>
      <c r="E20" s="135"/>
      <c r="F20" s="101">
        <v>130000</v>
      </c>
      <c r="G20" s="90">
        <f t="shared" si="0"/>
        <v>200000</v>
      </c>
      <c r="H20" s="116"/>
      <c r="I20" s="135">
        <v>200000</v>
      </c>
      <c r="J20" s="413">
        <f t="shared" si="1"/>
        <v>70000</v>
      </c>
      <c r="K20" s="84">
        <f t="shared" si="2"/>
        <v>153.84615384615384</v>
      </c>
    </row>
    <row r="21" spans="1:11" ht="12.75">
      <c r="A21" s="155">
        <v>4235</v>
      </c>
      <c r="B21" s="135" t="s">
        <v>109</v>
      </c>
      <c r="C21" s="135"/>
      <c r="D21" s="135">
        <f>400000+500000</f>
        <v>900000</v>
      </c>
      <c r="E21" s="135">
        <v>500000</v>
      </c>
      <c r="F21" s="101">
        <v>400000</v>
      </c>
      <c r="G21" s="90">
        <f t="shared" si="0"/>
        <v>975000</v>
      </c>
      <c r="H21" s="116">
        <v>55000</v>
      </c>
      <c r="I21" s="135">
        <v>920000</v>
      </c>
      <c r="J21" s="413">
        <f t="shared" si="1"/>
        <v>75000</v>
      </c>
      <c r="K21" s="84">
        <f t="shared" si="2"/>
        <v>108.33333333333333</v>
      </c>
    </row>
    <row r="22" spans="1:11" ht="12.75">
      <c r="A22" s="155">
        <v>4236</v>
      </c>
      <c r="B22" s="135" t="s">
        <v>110</v>
      </c>
      <c r="C22" s="135"/>
      <c r="D22" s="135">
        <v>1850000</v>
      </c>
      <c r="E22" s="135">
        <v>1850000</v>
      </c>
      <c r="F22" s="101"/>
      <c r="G22" s="90">
        <f t="shared" si="0"/>
        <v>1727000</v>
      </c>
      <c r="H22" s="116">
        <v>1727000</v>
      </c>
      <c r="I22" s="135"/>
      <c r="J22" s="413">
        <f t="shared" si="1"/>
        <v>-123000</v>
      </c>
      <c r="K22" s="84">
        <f t="shared" si="2"/>
        <v>93.35135135135135</v>
      </c>
    </row>
    <row r="23" spans="1:11" ht="12.75">
      <c r="A23" s="155">
        <v>4237</v>
      </c>
      <c r="B23" s="135" t="s">
        <v>47</v>
      </c>
      <c r="C23" s="135"/>
      <c r="D23" s="135">
        <f>110000</f>
        <v>110000</v>
      </c>
      <c r="E23" s="135"/>
      <c r="F23" s="101">
        <v>110000</v>
      </c>
      <c r="G23" s="90">
        <f t="shared" si="0"/>
        <v>14000</v>
      </c>
      <c r="H23" s="116"/>
      <c r="I23" s="135">
        <v>14000</v>
      </c>
      <c r="J23" s="413">
        <f t="shared" si="1"/>
        <v>-96000</v>
      </c>
      <c r="K23" s="84">
        <f t="shared" si="2"/>
        <v>12.727272727272727</v>
      </c>
    </row>
    <row r="24" spans="1:11" ht="12.75">
      <c r="A24" s="155">
        <v>4239</v>
      </c>
      <c r="B24" s="135" t="s">
        <v>48</v>
      </c>
      <c r="C24" s="135"/>
      <c r="D24" s="135">
        <f>200000+200000</f>
        <v>400000</v>
      </c>
      <c r="E24" s="135">
        <v>200000</v>
      </c>
      <c r="F24" s="101">
        <v>200000</v>
      </c>
      <c r="G24" s="90">
        <f t="shared" si="0"/>
        <v>188000</v>
      </c>
      <c r="H24" s="116">
        <v>103000</v>
      </c>
      <c r="I24" s="135">
        <v>85000</v>
      </c>
      <c r="J24" s="413">
        <f t="shared" si="1"/>
        <v>-212000</v>
      </c>
      <c r="K24" s="84">
        <f t="shared" si="2"/>
        <v>47</v>
      </c>
    </row>
    <row r="25" spans="1:11" ht="12.75">
      <c r="A25" s="155">
        <v>4243</v>
      </c>
      <c r="B25" s="135" t="s">
        <v>111</v>
      </c>
      <c r="C25" s="135"/>
      <c r="D25" s="135">
        <v>350000</v>
      </c>
      <c r="E25" s="135">
        <v>350000</v>
      </c>
      <c r="F25" s="101"/>
      <c r="G25" s="90">
        <f t="shared" si="0"/>
        <v>230000</v>
      </c>
      <c r="H25" s="116">
        <v>230000</v>
      </c>
      <c r="I25" s="135"/>
      <c r="J25" s="413">
        <f t="shared" si="1"/>
        <v>-120000</v>
      </c>
      <c r="K25" s="84">
        <f t="shared" si="2"/>
        <v>65.71428571428571</v>
      </c>
    </row>
    <row r="26" spans="1:11" ht="12.75">
      <c r="A26" s="155">
        <v>4249</v>
      </c>
      <c r="B26" s="135" t="s">
        <v>382</v>
      </c>
      <c r="C26" s="135"/>
      <c r="D26" s="135"/>
      <c r="E26" s="135"/>
      <c r="F26" s="101"/>
      <c r="G26" s="90">
        <f t="shared" si="0"/>
        <v>418000</v>
      </c>
      <c r="H26" s="116">
        <v>8000</v>
      </c>
      <c r="I26" s="135">
        <v>410000</v>
      </c>
      <c r="J26" s="413"/>
      <c r="K26" s="84"/>
    </row>
    <row r="27" spans="1:11" ht="12.75">
      <c r="A27" s="155">
        <v>4251</v>
      </c>
      <c r="B27" s="135" t="s">
        <v>112</v>
      </c>
      <c r="C27" s="135"/>
      <c r="D27" s="135">
        <f>1050000</f>
        <v>1050000</v>
      </c>
      <c r="E27" s="135">
        <v>750000</v>
      </c>
      <c r="F27" s="101">
        <v>560000</v>
      </c>
      <c r="G27" s="90">
        <f t="shared" si="0"/>
        <v>324000</v>
      </c>
      <c r="H27" s="116">
        <v>254000</v>
      </c>
      <c r="I27" s="135">
        <v>70000</v>
      </c>
      <c r="J27" s="413">
        <f t="shared" si="1"/>
        <v>-726000</v>
      </c>
      <c r="K27" s="84">
        <f t="shared" si="2"/>
        <v>30.857142857142858</v>
      </c>
    </row>
    <row r="28" spans="1:11" ht="12.75">
      <c r="A28" s="155">
        <v>4252</v>
      </c>
      <c r="B28" s="135" t="s">
        <v>113</v>
      </c>
      <c r="C28" s="135"/>
      <c r="D28" s="135">
        <f>110000+800000+280000</f>
        <v>1190000</v>
      </c>
      <c r="E28" s="135">
        <v>800000</v>
      </c>
      <c r="F28" s="101">
        <v>110000</v>
      </c>
      <c r="G28" s="90">
        <f t="shared" si="0"/>
        <v>1352000</v>
      </c>
      <c r="H28" s="116">
        <v>1042000</v>
      </c>
      <c r="I28" s="135">
        <v>310000</v>
      </c>
      <c r="J28" s="413">
        <f t="shared" si="1"/>
        <v>162000</v>
      </c>
      <c r="K28" s="84">
        <f t="shared" si="2"/>
        <v>113.61344537815125</v>
      </c>
    </row>
    <row r="29" spans="1:11" ht="12.75">
      <c r="A29" s="155">
        <v>4261</v>
      </c>
      <c r="B29" s="135" t="s">
        <v>114</v>
      </c>
      <c r="C29" s="135"/>
      <c r="D29" s="135">
        <v>1500000</v>
      </c>
      <c r="E29" s="135">
        <v>1500000</v>
      </c>
      <c r="F29" s="101"/>
      <c r="G29" s="90">
        <f t="shared" si="0"/>
        <v>1776000</v>
      </c>
      <c r="H29" s="116">
        <v>1776000</v>
      </c>
      <c r="I29" s="135"/>
      <c r="J29" s="413">
        <f t="shared" si="1"/>
        <v>276000</v>
      </c>
      <c r="K29" s="84">
        <f t="shared" si="2"/>
        <v>118.4</v>
      </c>
    </row>
    <row r="30" spans="1:11" ht="12.75">
      <c r="A30" s="155">
        <v>4263</v>
      </c>
      <c r="B30" s="135" t="s">
        <v>115</v>
      </c>
      <c r="C30" s="135"/>
      <c r="D30" s="135">
        <f>150000</f>
        <v>150000</v>
      </c>
      <c r="E30" s="135"/>
      <c r="F30" s="101">
        <v>150000</v>
      </c>
      <c r="G30" s="90">
        <f t="shared" si="0"/>
        <v>110000</v>
      </c>
      <c r="H30" s="116"/>
      <c r="I30" s="135">
        <v>110000</v>
      </c>
      <c r="J30" s="413">
        <f t="shared" si="1"/>
        <v>-40000</v>
      </c>
      <c r="K30" s="84">
        <f t="shared" si="2"/>
        <v>73.33333333333333</v>
      </c>
    </row>
    <row r="31" spans="1:11" ht="12.75">
      <c r="A31" s="155">
        <v>4264</v>
      </c>
      <c r="B31" s="135" t="s">
        <v>116</v>
      </c>
      <c r="C31" s="135"/>
      <c r="D31" s="135">
        <v>850000</v>
      </c>
      <c r="E31" s="135">
        <v>850000</v>
      </c>
      <c r="F31" s="101"/>
      <c r="G31" s="90">
        <f t="shared" si="0"/>
        <v>564000</v>
      </c>
      <c r="H31" s="116">
        <v>512000</v>
      </c>
      <c r="I31" s="135">
        <v>52000</v>
      </c>
      <c r="J31" s="413">
        <f t="shared" si="1"/>
        <v>-286000</v>
      </c>
      <c r="K31" s="84">
        <f t="shared" si="2"/>
        <v>66.3529411764706</v>
      </c>
    </row>
    <row r="32" spans="1:11" ht="12.75">
      <c r="A32" s="155">
        <v>4268</v>
      </c>
      <c r="B32" s="135" t="s">
        <v>118</v>
      </c>
      <c r="C32" s="135"/>
      <c r="D32" s="135">
        <v>300000</v>
      </c>
      <c r="E32" s="135">
        <v>300000</v>
      </c>
      <c r="F32" s="101"/>
      <c r="G32" s="90">
        <f t="shared" si="0"/>
        <v>381000</v>
      </c>
      <c r="H32" s="116">
        <v>381000</v>
      </c>
      <c r="I32" s="135"/>
      <c r="J32" s="413">
        <f t="shared" si="1"/>
        <v>81000</v>
      </c>
      <c r="K32" s="84">
        <f t="shared" si="2"/>
        <v>127</v>
      </c>
    </row>
    <row r="33" spans="1:11" ht="12.75">
      <c r="A33" s="155">
        <v>4269</v>
      </c>
      <c r="B33" s="135" t="s">
        <v>119</v>
      </c>
      <c r="C33" s="135"/>
      <c r="D33" s="135">
        <f>50000+500000</f>
        <v>550000</v>
      </c>
      <c r="E33" s="135">
        <v>500000</v>
      </c>
      <c r="F33" s="101"/>
      <c r="G33" s="90">
        <f t="shared" si="0"/>
        <v>350000</v>
      </c>
      <c r="H33" s="116">
        <v>295000</v>
      </c>
      <c r="I33" s="135">
        <v>55000</v>
      </c>
      <c r="J33" s="413">
        <f t="shared" si="1"/>
        <v>-200000</v>
      </c>
      <c r="K33" s="84">
        <f t="shared" si="2"/>
        <v>63.63636363636363</v>
      </c>
    </row>
    <row r="34" spans="1:11" ht="12.75">
      <c r="A34" s="155">
        <v>4442</v>
      </c>
      <c r="B34" s="135" t="s">
        <v>85</v>
      </c>
      <c r="C34" s="135"/>
      <c r="D34" s="135">
        <v>100000</v>
      </c>
      <c r="E34" s="135"/>
      <c r="F34" s="101">
        <v>100000</v>
      </c>
      <c r="G34" s="90">
        <f t="shared" si="0"/>
        <v>170000</v>
      </c>
      <c r="H34" s="116"/>
      <c r="I34" s="135">
        <v>170000</v>
      </c>
      <c r="J34" s="413">
        <f t="shared" si="1"/>
        <v>70000</v>
      </c>
      <c r="K34" s="84">
        <f t="shared" si="2"/>
        <v>170</v>
      </c>
    </row>
    <row r="35" spans="1:11" ht="12.75">
      <c r="A35" s="155">
        <v>4821</v>
      </c>
      <c r="B35" s="135" t="s">
        <v>87</v>
      </c>
      <c r="C35" s="135"/>
      <c r="D35" s="135">
        <v>4000</v>
      </c>
      <c r="E35" s="135">
        <v>4000</v>
      </c>
      <c r="F35" s="101"/>
      <c r="G35" s="90">
        <f t="shared" si="0"/>
        <v>438000</v>
      </c>
      <c r="H35" s="116">
        <v>13000</v>
      </c>
      <c r="I35" s="135">
        <v>425000</v>
      </c>
      <c r="J35" s="413">
        <f t="shared" si="1"/>
        <v>434000</v>
      </c>
      <c r="K35" s="84"/>
    </row>
    <row r="36" spans="1:11" ht="12.75">
      <c r="A36" s="155">
        <v>4822</v>
      </c>
      <c r="B36" s="135" t="s">
        <v>90</v>
      </c>
      <c r="C36" s="135"/>
      <c r="D36" s="135">
        <f>100000+200000</f>
        <v>300000</v>
      </c>
      <c r="E36" s="135">
        <v>200000</v>
      </c>
      <c r="F36" s="101">
        <v>100000</v>
      </c>
      <c r="G36" s="90">
        <f t="shared" si="0"/>
        <v>216000</v>
      </c>
      <c r="H36" s="116">
        <v>81000</v>
      </c>
      <c r="I36" s="135">
        <v>135000</v>
      </c>
      <c r="J36" s="413">
        <f t="shared" si="1"/>
        <v>-84000</v>
      </c>
      <c r="K36" s="84">
        <f t="shared" si="2"/>
        <v>72</v>
      </c>
    </row>
    <row r="37" spans="1:11" ht="12.75">
      <c r="A37" s="155"/>
      <c r="B37" s="106" t="s">
        <v>180</v>
      </c>
      <c r="C37" s="106"/>
      <c r="D37" s="106">
        <f>50000+14025000</f>
        <v>14075000</v>
      </c>
      <c r="E37" s="106">
        <v>14025000</v>
      </c>
      <c r="F37" s="106">
        <v>50000</v>
      </c>
      <c r="G37" s="90">
        <f t="shared" si="0"/>
        <v>18580000</v>
      </c>
      <c r="H37" s="90">
        <v>18304000</v>
      </c>
      <c r="I37" s="106">
        <v>276000</v>
      </c>
      <c r="J37" s="414">
        <f t="shared" si="1"/>
        <v>4505000</v>
      </c>
      <c r="K37" s="84">
        <f t="shared" si="2"/>
        <v>132.00710479573712</v>
      </c>
    </row>
    <row r="38" spans="1:11" ht="12.75">
      <c r="A38" s="155"/>
      <c r="B38" s="106" t="s">
        <v>182</v>
      </c>
      <c r="C38" s="106"/>
      <c r="D38" s="106">
        <f>5300000+5356000</f>
        <v>10656000</v>
      </c>
      <c r="E38" s="106">
        <v>5356000</v>
      </c>
      <c r="F38" s="106">
        <v>5300000</v>
      </c>
      <c r="G38" s="90">
        <f t="shared" si="0"/>
        <v>6633000</v>
      </c>
      <c r="H38" s="90">
        <f>5356000+168000+200000+130000</f>
        <v>5854000</v>
      </c>
      <c r="I38" s="106">
        <f>68000+668000+43000</f>
        <v>779000</v>
      </c>
      <c r="J38" s="414">
        <f t="shared" si="1"/>
        <v>-4023000</v>
      </c>
      <c r="K38" s="84">
        <f t="shared" si="2"/>
        <v>62.24662162162162</v>
      </c>
    </row>
    <row r="39" spans="1:11" ht="12.75">
      <c r="A39" s="155"/>
      <c r="B39" s="752" t="s">
        <v>183</v>
      </c>
      <c r="C39" s="753"/>
      <c r="D39" s="106">
        <f>5000000+5965000</f>
        <v>10965000</v>
      </c>
      <c r="E39" s="106">
        <v>5965000</v>
      </c>
      <c r="F39" s="106">
        <v>5000000</v>
      </c>
      <c r="G39" s="90">
        <f t="shared" si="0"/>
        <v>7080000</v>
      </c>
      <c r="H39" s="90">
        <v>7050000</v>
      </c>
      <c r="I39" s="106">
        <v>30000</v>
      </c>
      <c r="J39" s="414">
        <f t="shared" si="1"/>
        <v>-3885000</v>
      </c>
      <c r="K39" s="84">
        <f t="shared" si="2"/>
        <v>64.56908344733242</v>
      </c>
    </row>
    <row r="40" spans="1:11" ht="12.75">
      <c r="A40" s="155"/>
      <c r="B40" s="106" t="s">
        <v>287</v>
      </c>
      <c r="C40" s="106"/>
      <c r="D40" s="106">
        <f aca="true" t="shared" si="3" ref="D40:J40">D39+D38+D37+D10+D9+D8+D7</f>
        <v>283336000</v>
      </c>
      <c r="E40" s="106">
        <f t="shared" si="3"/>
        <v>258500000</v>
      </c>
      <c r="F40" s="130">
        <f t="shared" si="3"/>
        <v>24836000</v>
      </c>
      <c r="G40" s="90">
        <f t="shared" si="3"/>
        <v>290472000</v>
      </c>
      <c r="H40" s="90">
        <f t="shared" si="3"/>
        <v>272070000</v>
      </c>
      <c r="I40" s="90">
        <f t="shared" si="3"/>
        <v>18402000</v>
      </c>
      <c r="J40" s="130">
        <f t="shared" si="3"/>
        <v>6718000</v>
      </c>
      <c r="K40" s="84">
        <f t="shared" si="2"/>
        <v>102.51856453115735</v>
      </c>
    </row>
    <row r="41" spans="1:11" ht="12.75">
      <c r="A41" s="418"/>
      <c r="B41" s="125"/>
      <c r="C41" s="125"/>
      <c r="D41" s="125"/>
      <c r="E41" s="125"/>
      <c r="F41" s="390"/>
      <c r="G41" s="120"/>
      <c r="H41" s="120"/>
      <c r="I41" s="120"/>
      <c r="J41" s="390"/>
      <c r="K41" s="92"/>
    </row>
    <row r="42" spans="1:11" ht="12.75">
      <c r="A42" s="418"/>
      <c r="B42" s="125"/>
      <c r="C42" s="125"/>
      <c r="D42" s="125"/>
      <c r="E42" s="125"/>
      <c r="F42" s="390"/>
      <c r="G42" s="120"/>
      <c r="H42" s="120"/>
      <c r="I42" s="120"/>
      <c r="J42" s="390"/>
      <c r="K42" s="92"/>
    </row>
    <row r="43" spans="1:11" ht="12.75">
      <c r="A43" s="418"/>
      <c r="B43" s="125"/>
      <c r="C43" s="125"/>
      <c r="D43" s="125"/>
      <c r="E43" s="125"/>
      <c r="F43" s="390"/>
      <c r="G43" s="120"/>
      <c r="H43" s="120"/>
      <c r="I43" s="120"/>
      <c r="J43" s="390"/>
      <c r="K43" s="92"/>
    </row>
    <row r="44" spans="1:11" ht="12.75">
      <c r="A44" s="418"/>
      <c r="B44" s="125"/>
      <c r="C44" s="125"/>
      <c r="D44" s="125"/>
      <c r="E44" s="125"/>
      <c r="F44" s="390"/>
      <c r="G44" s="120"/>
      <c r="H44" s="120"/>
      <c r="I44" s="120"/>
      <c r="J44" s="390"/>
      <c r="K44" s="92"/>
    </row>
    <row r="45" spans="1:10" ht="12.75">
      <c r="A45" s="223" t="s">
        <v>362</v>
      </c>
      <c r="B45" s="223"/>
      <c r="C45" s="223"/>
      <c r="D45" s="223"/>
      <c r="E45" s="146"/>
      <c r="F45" s="125"/>
      <c r="H45" s="411"/>
      <c r="I45" s="411"/>
      <c r="J45" s="145"/>
    </row>
    <row r="46" spans="1:10" ht="12.75">
      <c r="A46" s="168"/>
      <c r="B46" s="125"/>
      <c r="C46" s="419" t="s">
        <v>392</v>
      </c>
      <c r="D46" s="125"/>
      <c r="E46" s="125"/>
      <c r="F46" s="125"/>
      <c r="G46" s="125"/>
      <c r="H46" s="125"/>
      <c r="I46" s="125"/>
      <c r="J46" s="145"/>
    </row>
    <row r="47" spans="1:10" ht="22.5">
      <c r="A47" s="216" t="s">
        <v>0</v>
      </c>
      <c r="B47" s="756" t="s">
        <v>1</v>
      </c>
      <c r="C47" s="757"/>
      <c r="D47" s="216" t="s">
        <v>368</v>
      </c>
      <c r="E47" s="216" t="s">
        <v>367</v>
      </c>
      <c r="F47" s="216" t="s">
        <v>379</v>
      </c>
      <c r="G47" s="216" t="s">
        <v>376</v>
      </c>
      <c r="H47" s="234"/>
      <c r="I47" s="18"/>
      <c r="J47" s="234"/>
    </row>
    <row r="48" spans="1:10" ht="12.75">
      <c r="A48" s="99"/>
      <c r="B48" s="101" t="s">
        <v>257</v>
      </c>
      <c r="C48" s="101"/>
      <c r="D48" s="101"/>
      <c r="E48" s="101"/>
      <c r="F48" s="415"/>
      <c r="G48" s="101"/>
      <c r="H48" s="122"/>
      <c r="I48" s="18"/>
      <c r="J48" s="146"/>
    </row>
    <row r="49" spans="1:10" ht="12.75">
      <c r="A49" s="99"/>
      <c r="B49" s="745" t="s">
        <v>190</v>
      </c>
      <c r="C49" s="747"/>
      <c r="D49" s="101">
        <v>3500000</v>
      </c>
      <c r="E49" s="101">
        <v>170000</v>
      </c>
      <c r="F49" s="415">
        <f>D49-E49</f>
        <v>3330000</v>
      </c>
      <c r="G49" s="101">
        <f>E49*100/D49</f>
        <v>4.857142857142857</v>
      </c>
      <c r="H49" s="122"/>
      <c r="I49" s="18"/>
      <c r="J49" s="122"/>
    </row>
    <row r="50" spans="1:10" ht="12.75">
      <c r="A50" s="99"/>
      <c r="B50" s="745" t="s">
        <v>191</v>
      </c>
      <c r="C50" s="746"/>
      <c r="D50" s="101">
        <v>1437000</v>
      </c>
      <c r="E50" s="101">
        <v>855400</v>
      </c>
      <c r="F50" s="415">
        <f aca="true" t="shared" si="4" ref="F50:F58">D50-E50</f>
        <v>581600</v>
      </c>
      <c r="G50" s="101">
        <f aca="true" t="shared" si="5" ref="G50:G58">E50*100/D50</f>
        <v>59.526791927627</v>
      </c>
      <c r="H50" s="122"/>
      <c r="I50" s="18"/>
      <c r="J50" s="122"/>
    </row>
    <row r="51" spans="1:10" ht="12.75">
      <c r="A51" s="99"/>
      <c r="B51" s="101" t="s">
        <v>267</v>
      </c>
      <c r="C51" s="101"/>
      <c r="D51" s="101">
        <v>5000000</v>
      </c>
      <c r="E51" s="101"/>
      <c r="F51" s="415">
        <f t="shared" si="4"/>
        <v>5000000</v>
      </c>
      <c r="G51" s="101">
        <f t="shared" si="5"/>
        <v>0</v>
      </c>
      <c r="H51" s="122"/>
      <c r="I51" s="18"/>
      <c r="J51" s="122"/>
    </row>
    <row r="52" spans="1:10" ht="12.75">
      <c r="A52" s="99"/>
      <c r="B52" s="101" t="s">
        <v>258</v>
      </c>
      <c r="C52" s="101"/>
      <c r="D52" s="101">
        <v>1400000</v>
      </c>
      <c r="E52" s="101">
        <v>1376600</v>
      </c>
      <c r="F52" s="415">
        <f t="shared" si="4"/>
        <v>23400</v>
      </c>
      <c r="G52" s="101">
        <f t="shared" si="5"/>
        <v>98.32857142857142</v>
      </c>
      <c r="H52" s="122"/>
      <c r="I52" s="18"/>
      <c r="J52" s="122"/>
    </row>
    <row r="53" spans="1:10" ht="12.75">
      <c r="A53" s="99"/>
      <c r="B53" s="101" t="s">
        <v>259</v>
      </c>
      <c r="C53" s="101"/>
      <c r="D53" s="101">
        <v>4000000</v>
      </c>
      <c r="E53" s="101">
        <f>1147600+28600</f>
        <v>1176200</v>
      </c>
      <c r="F53" s="415">
        <f t="shared" si="4"/>
        <v>2823800</v>
      </c>
      <c r="G53" s="101">
        <f t="shared" si="5"/>
        <v>29.405</v>
      </c>
      <c r="H53" s="122"/>
      <c r="I53" s="18"/>
      <c r="J53" s="122"/>
    </row>
    <row r="54" spans="1:10" ht="12.75">
      <c r="A54" s="99"/>
      <c r="B54" s="101" t="s">
        <v>326</v>
      </c>
      <c r="C54" s="101"/>
      <c r="D54" s="101">
        <v>814200</v>
      </c>
      <c r="E54" s="101"/>
      <c r="F54" s="415">
        <f t="shared" si="4"/>
        <v>814200</v>
      </c>
      <c r="G54" s="101">
        <f t="shared" si="5"/>
        <v>0</v>
      </c>
      <c r="H54" s="122"/>
      <c r="I54" s="18"/>
      <c r="J54" s="122"/>
    </row>
    <row r="55" spans="1:10" ht="12.75">
      <c r="A55" s="99"/>
      <c r="B55" s="106" t="s">
        <v>327</v>
      </c>
      <c r="C55" s="106"/>
      <c r="D55" s="106">
        <f>SUM(D49:D54)</f>
        <v>16151200</v>
      </c>
      <c r="E55" s="106">
        <f>SUM(E48:E54)</f>
        <v>3578200</v>
      </c>
      <c r="F55" s="415">
        <f t="shared" si="4"/>
        <v>12573000</v>
      </c>
      <c r="G55" s="101">
        <f t="shared" si="5"/>
        <v>22.154391005002726</v>
      </c>
      <c r="H55" s="125"/>
      <c r="I55" s="18"/>
      <c r="J55" s="125"/>
    </row>
    <row r="56" spans="1:10" ht="12.75">
      <c r="A56" s="99"/>
      <c r="B56" s="135" t="s">
        <v>386</v>
      </c>
      <c r="C56" s="135"/>
      <c r="D56" s="135"/>
      <c r="E56" s="135">
        <f>5540000+970000+580000+350000+2780000+5000000</f>
        <v>15220000</v>
      </c>
      <c r="F56" s="415"/>
      <c r="G56" s="101"/>
      <c r="H56" s="125"/>
      <c r="I56" s="18"/>
      <c r="J56" s="125"/>
    </row>
    <row r="57" spans="1:10" ht="12.75">
      <c r="A57" s="99"/>
      <c r="B57" s="754" t="s">
        <v>385</v>
      </c>
      <c r="C57" s="755"/>
      <c r="D57" s="416"/>
      <c r="E57" s="417">
        <f>12125300</f>
        <v>12125300</v>
      </c>
      <c r="F57" s="420"/>
      <c r="G57" s="101"/>
      <c r="H57" s="125"/>
      <c r="I57" s="18"/>
      <c r="J57" s="125"/>
    </row>
    <row r="58" spans="1:10" ht="12.75">
      <c r="A58" s="99"/>
      <c r="B58" s="106" t="s">
        <v>375</v>
      </c>
      <c r="C58" s="106"/>
      <c r="D58" s="106">
        <f>D40+D55</f>
        <v>299487200</v>
      </c>
      <c r="E58" s="106">
        <f>E89</f>
        <v>321395500</v>
      </c>
      <c r="F58" s="415">
        <f t="shared" si="4"/>
        <v>-21908300</v>
      </c>
      <c r="G58" s="101">
        <f t="shared" si="5"/>
        <v>107.31527090306363</v>
      </c>
      <c r="H58" s="125">
        <f>E58+1232000</f>
        <v>322627500</v>
      </c>
      <c r="I58" s="18"/>
      <c r="J58" s="125"/>
    </row>
    <row r="59" spans="1:10" ht="12.75">
      <c r="A59" s="121"/>
      <c r="B59" s="125"/>
      <c r="C59" s="125"/>
      <c r="D59" s="125"/>
      <c r="E59" s="125"/>
      <c r="F59" s="423"/>
      <c r="G59" s="122"/>
      <c r="H59" s="125"/>
      <c r="I59" s="18"/>
      <c r="J59" s="125"/>
    </row>
    <row r="60" spans="1:10" ht="12.75">
      <c r="A60" s="121" t="s">
        <v>387</v>
      </c>
      <c r="B60" s="125"/>
      <c r="C60" s="125"/>
      <c r="D60" s="125"/>
      <c r="E60" s="125"/>
      <c r="F60" s="125"/>
      <c r="G60" s="125"/>
      <c r="H60" s="125"/>
      <c r="I60" s="125"/>
      <c r="J60" s="145"/>
    </row>
    <row r="61" spans="1:10" ht="12.75">
      <c r="A61" s="150" t="s">
        <v>388</v>
      </c>
      <c r="B61" s="150"/>
      <c r="C61" s="150"/>
      <c r="D61" s="150"/>
      <c r="E61" s="150"/>
      <c r="F61" s="150"/>
      <c r="G61" s="150"/>
      <c r="H61" s="150"/>
      <c r="I61" s="145"/>
      <c r="J61" s="145"/>
    </row>
    <row r="62" spans="1:10" ht="12.75">
      <c r="A62" s="150" t="s">
        <v>389</v>
      </c>
      <c r="B62" s="150"/>
      <c r="C62" s="150"/>
      <c r="D62" s="150"/>
      <c r="E62" s="150"/>
      <c r="F62" s="150"/>
      <c r="G62" s="150"/>
      <c r="H62" s="150"/>
      <c r="I62" s="145"/>
      <c r="J62" s="145"/>
    </row>
    <row r="63" spans="1:10" ht="12.75">
      <c r="A63" s="150" t="s">
        <v>390</v>
      </c>
      <c r="B63" s="150"/>
      <c r="C63" s="150"/>
      <c r="D63" s="150"/>
      <c r="E63" s="150"/>
      <c r="F63" s="150"/>
      <c r="G63" s="150"/>
      <c r="H63" s="150"/>
      <c r="I63" s="145"/>
      <c r="J63" s="145"/>
    </row>
    <row r="64" spans="1:10" ht="12.75">
      <c r="A64" s="150"/>
      <c r="B64" s="150"/>
      <c r="C64" s="150"/>
      <c r="D64" s="150"/>
      <c r="E64" s="150"/>
      <c r="F64" s="150"/>
      <c r="G64" s="150"/>
      <c r="H64" s="150"/>
      <c r="I64" s="145"/>
      <c r="J64" s="145"/>
    </row>
    <row r="65" spans="1:10" ht="12.75">
      <c r="A65" s="145"/>
      <c r="B65" s="411" t="s">
        <v>391</v>
      </c>
      <c r="C65" s="411"/>
      <c r="D65" s="411"/>
      <c r="E65" s="411"/>
      <c r="F65" s="145"/>
      <c r="G65" s="145"/>
      <c r="H65" s="145"/>
      <c r="I65" s="145"/>
      <c r="J65" s="145"/>
    </row>
    <row r="66" spans="1:10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2.75">
      <c r="A67" s="148" t="s">
        <v>273</v>
      </c>
      <c r="B67" s="148"/>
      <c r="C67" s="148"/>
      <c r="D67" s="148"/>
      <c r="E67" s="150"/>
      <c r="F67" s="150"/>
      <c r="G67" s="150"/>
      <c r="H67" s="150"/>
      <c r="I67" s="148"/>
      <c r="J67" s="145"/>
    </row>
    <row r="68" spans="1:10" ht="22.5">
      <c r="A68" s="216" t="s">
        <v>0</v>
      </c>
      <c r="B68" s="756" t="s">
        <v>1</v>
      </c>
      <c r="C68" s="757"/>
      <c r="D68" s="216" t="s">
        <v>368</v>
      </c>
      <c r="E68" s="216" t="s">
        <v>367</v>
      </c>
      <c r="F68" s="216" t="s">
        <v>374</v>
      </c>
      <c r="G68" s="216" t="s">
        <v>376</v>
      </c>
      <c r="H68" s="234"/>
      <c r="I68" s="234"/>
      <c r="J68" s="145"/>
    </row>
    <row r="69" spans="1:10" ht="12.75">
      <c r="A69" s="155">
        <v>7421</v>
      </c>
      <c r="B69" s="135" t="s">
        <v>149</v>
      </c>
      <c r="C69" s="135"/>
      <c r="D69" s="135">
        <v>32236000</v>
      </c>
      <c r="E69" s="135">
        <v>31200000</v>
      </c>
      <c r="F69" s="413">
        <f>E69-D69</f>
        <v>-1036000</v>
      </c>
      <c r="G69" s="135">
        <f>E69*100/D69</f>
        <v>96.7862017620052</v>
      </c>
      <c r="H69" s="136"/>
      <c r="I69" s="136"/>
      <c r="J69" s="145"/>
    </row>
    <row r="70" spans="1:10" ht="12.75">
      <c r="A70" s="155">
        <v>7441</v>
      </c>
      <c r="B70" s="135" t="s">
        <v>377</v>
      </c>
      <c r="C70" s="135"/>
      <c r="D70" s="135"/>
      <c r="E70" s="135">
        <v>150000</v>
      </c>
      <c r="F70" s="413"/>
      <c r="G70" s="135"/>
      <c r="H70" s="136"/>
      <c r="I70" s="136"/>
      <c r="J70" s="145"/>
    </row>
    <row r="71" spans="1:10" ht="12.75">
      <c r="A71" s="155">
        <v>7451</v>
      </c>
      <c r="B71" s="135" t="s">
        <v>151</v>
      </c>
      <c r="C71" s="135"/>
      <c r="D71" s="135"/>
      <c r="E71" s="135">
        <v>106500</v>
      </c>
      <c r="F71" s="413">
        <f aca="true" t="shared" si="6" ref="F71:F89">E71-D71</f>
        <v>106500</v>
      </c>
      <c r="G71" s="135"/>
      <c r="H71" s="136"/>
      <c r="I71" s="136"/>
      <c r="J71" s="145"/>
    </row>
    <row r="72" spans="1:10" ht="12.75">
      <c r="A72" s="155">
        <v>7711</v>
      </c>
      <c r="B72" s="135" t="s">
        <v>154</v>
      </c>
      <c r="C72" s="135"/>
      <c r="D72" s="135">
        <v>3000000</v>
      </c>
      <c r="E72" s="135">
        <v>3200000</v>
      </c>
      <c r="F72" s="413">
        <f t="shared" si="6"/>
        <v>200000</v>
      </c>
      <c r="G72" s="135">
        <f aca="true" t="shared" si="7" ref="G72:G89">E72*100/D72</f>
        <v>106.66666666666667</v>
      </c>
      <c r="H72" s="136"/>
      <c r="I72" s="136"/>
      <c r="J72" s="145"/>
    </row>
    <row r="73" spans="1:10" ht="12.75">
      <c r="A73" s="155"/>
      <c r="B73" s="106" t="s">
        <v>278</v>
      </c>
      <c r="C73" s="106"/>
      <c r="D73" s="106">
        <f>SUM(D69:D72)</f>
        <v>35236000</v>
      </c>
      <c r="E73" s="106">
        <f>SUM(E69:E72)</f>
        <v>34656500</v>
      </c>
      <c r="F73" s="414">
        <f t="shared" si="6"/>
        <v>-579500</v>
      </c>
      <c r="G73" s="106">
        <f t="shared" si="7"/>
        <v>98.35537518447043</v>
      </c>
      <c r="H73" s="125"/>
      <c r="I73" s="125"/>
      <c r="J73" s="145"/>
    </row>
    <row r="74" spans="1:10" ht="12.75">
      <c r="A74" s="155"/>
      <c r="B74" s="106" t="s">
        <v>264</v>
      </c>
      <c r="C74" s="106"/>
      <c r="D74" s="106">
        <f>D75+D76</f>
        <v>4937000</v>
      </c>
      <c r="E74" s="106">
        <f>E75+E76</f>
        <v>4937000</v>
      </c>
      <c r="F74" s="414">
        <f t="shared" si="6"/>
        <v>0</v>
      </c>
      <c r="G74" s="106">
        <f t="shared" si="7"/>
        <v>100</v>
      </c>
      <c r="H74" s="125"/>
      <c r="I74" s="125"/>
      <c r="J74" s="145"/>
    </row>
    <row r="75" spans="1:10" ht="12.75">
      <c r="A75" s="155"/>
      <c r="B75" s="745" t="s">
        <v>190</v>
      </c>
      <c r="C75" s="746"/>
      <c r="D75" s="101">
        <v>3500000</v>
      </c>
      <c r="E75" s="101">
        <v>3500000</v>
      </c>
      <c r="F75" s="413">
        <f t="shared" si="6"/>
        <v>0</v>
      </c>
      <c r="G75" s="135">
        <f t="shared" si="7"/>
        <v>100</v>
      </c>
      <c r="H75" s="122"/>
      <c r="I75" s="122"/>
      <c r="J75" s="145"/>
    </row>
    <row r="76" spans="1:10" ht="12.75">
      <c r="A76" s="155"/>
      <c r="B76" s="745" t="s">
        <v>191</v>
      </c>
      <c r="C76" s="746"/>
      <c r="D76" s="101">
        <v>1437000</v>
      </c>
      <c r="E76" s="101">
        <v>1437000</v>
      </c>
      <c r="F76" s="413">
        <f t="shared" si="6"/>
        <v>0</v>
      </c>
      <c r="G76" s="135">
        <f t="shared" si="7"/>
        <v>100</v>
      </c>
      <c r="H76" s="122"/>
      <c r="I76" s="122"/>
      <c r="J76" s="145"/>
    </row>
    <row r="77" spans="1:10" ht="12.75">
      <c r="A77" s="107">
        <v>7331</v>
      </c>
      <c r="B77" s="106" t="s">
        <v>326</v>
      </c>
      <c r="C77" s="106"/>
      <c r="D77" s="106">
        <v>814200</v>
      </c>
      <c r="E77" s="106">
        <v>1232000</v>
      </c>
      <c r="F77" s="414">
        <f t="shared" si="6"/>
        <v>417800</v>
      </c>
      <c r="G77" s="106">
        <f t="shared" si="7"/>
        <v>151.31417342176368</v>
      </c>
      <c r="H77" s="122"/>
      <c r="I77" s="122"/>
      <c r="J77" s="145"/>
    </row>
    <row r="78" spans="1:10" ht="12.75">
      <c r="A78" s="155"/>
      <c r="B78" s="106" t="s">
        <v>325</v>
      </c>
      <c r="C78" s="106"/>
      <c r="D78" s="106">
        <f>D73+D74</f>
        <v>40173000</v>
      </c>
      <c r="E78" s="106">
        <f>E73+E74</f>
        <v>39593500</v>
      </c>
      <c r="F78" s="414">
        <f t="shared" si="6"/>
        <v>-579500</v>
      </c>
      <c r="G78" s="106">
        <f t="shared" si="7"/>
        <v>98.55748886067757</v>
      </c>
      <c r="H78" s="125"/>
      <c r="I78" s="125"/>
      <c r="J78" s="145"/>
    </row>
    <row r="79" spans="1:10" ht="12.75">
      <c r="A79" s="137">
        <v>7811</v>
      </c>
      <c r="B79" s="106" t="s">
        <v>292</v>
      </c>
      <c r="C79" s="106"/>
      <c r="D79" s="106">
        <f>D80+D81+D82+D83+D84+D85+D86+D87+D88</f>
        <v>258368000</v>
      </c>
      <c r="E79" s="106">
        <f>E80+E81+E82+E83+E84+E85+E86+E87</f>
        <v>280570000</v>
      </c>
      <c r="F79" s="414">
        <f t="shared" si="6"/>
        <v>22202000</v>
      </c>
      <c r="G79" s="106">
        <f t="shared" si="7"/>
        <v>108.59316943274709</v>
      </c>
      <c r="H79" s="125"/>
      <c r="I79" s="125"/>
      <c r="J79" s="145"/>
    </row>
    <row r="80" spans="1:10" ht="12.75">
      <c r="A80" s="143">
        <v>7811110101</v>
      </c>
      <c r="B80" s="99" t="s">
        <v>155</v>
      </c>
      <c r="C80" s="106"/>
      <c r="D80" s="100">
        <v>187186000</v>
      </c>
      <c r="E80" s="135">
        <v>193872000</v>
      </c>
      <c r="F80" s="413">
        <f t="shared" si="6"/>
        <v>6686000</v>
      </c>
      <c r="G80" s="135">
        <f t="shared" si="7"/>
        <v>103.57184832198989</v>
      </c>
      <c r="H80" s="125"/>
      <c r="I80" s="111"/>
      <c r="J80" s="145"/>
    </row>
    <row r="81" spans="1:10" ht="12.75">
      <c r="A81" s="143">
        <v>7811110102</v>
      </c>
      <c r="B81" s="99" t="s">
        <v>156</v>
      </c>
      <c r="C81" s="106"/>
      <c r="D81" s="100">
        <v>4025000</v>
      </c>
      <c r="E81" s="135">
        <v>4025000</v>
      </c>
      <c r="F81" s="413">
        <f t="shared" si="6"/>
        <v>0</v>
      </c>
      <c r="G81" s="135">
        <f t="shared" si="7"/>
        <v>100</v>
      </c>
      <c r="H81" s="125"/>
      <c r="I81" s="111"/>
      <c r="J81" s="145"/>
    </row>
    <row r="82" spans="1:10" ht="12.75">
      <c r="A82" s="143">
        <v>7811110103</v>
      </c>
      <c r="B82" s="99" t="s">
        <v>157</v>
      </c>
      <c r="C82" s="106"/>
      <c r="D82" s="100">
        <v>14025000</v>
      </c>
      <c r="E82" s="135">
        <v>18304000</v>
      </c>
      <c r="F82" s="413">
        <f t="shared" si="6"/>
        <v>4279000</v>
      </c>
      <c r="G82" s="135">
        <f t="shared" si="7"/>
        <v>130.50980392156862</v>
      </c>
      <c r="H82" s="125"/>
      <c r="I82" s="111"/>
      <c r="J82" s="145"/>
    </row>
    <row r="83" spans="1:10" ht="12.75">
      <c r="A83" s="143">
        <v>7811110104</v>
      </c>
      <c r="B83" s="99" t="s">
        <v>158</v>
      </c>
      <c r="C83" s="106"/>
      <c r="D83" s="100">
        <v>8777000</v>
      </c>
      <c r="E83" s="135">
        <f>23224000-4915000</f>
        <v>18309000</v>
      </c>
      <c r="F83" s="413">
        <f t="shared" si="6"/>
        <v>9532000</v>
      </c>
      <c r="G83" s="135">
        <f t="shared" si="7"/>
        <v>208.60202802779992</v>
      </c>
      <c r="H83" s="125"/>
      <c r="I83" s="111"/>
      <c r="J83" s="145"/>
    </row>
    <row r="84" spans="1:10" ht="12.75">
      <c r="A84" s="143">
        <v>7811110105</v>
      </c>
      <c r="B84" s="99" t="s">
        <v>159</v>
      </c>
      <c r="C84" s="106"/>
      <c r="D84" s="100">
        <v>5965000</v>
      </c>
      <c r="E84" s="135">
        <v>5965000</v>
      </c>
      <c r="F84" s="413">
        <f t="shared" si="6"/>
        <v>0</v>
      </c>
      <c r="G84" s="135">
        <f t="shared" si="7"/>
        <v>100</v>
      </c>
      <c r="H84" s="125"/>
      <c r="I84" s="111"/>
      <c r="J84" s="145"/>
    </row>
    <row r="85" spans="1:10" ht="12.75">
      <c r="A85" s="143">
        <v>7811110106</v>
      </c>
      <c r="B85" s="99" t="s">
        <v>160</v>
      </c>
      <c r="C85" s="106"/>
      <c r="D85" s="100">
        <v>5356000</v>
      </c>
      <c r="E85" s="135">
        <v>5356000</v>
      </c>
      <c r="F85" s="413">
        <f t="shared" si="6"/>
        <v>0</v>
      </c>
      <c r="G85" s="135">
        <f t="shared" si="7"/>
        <v>100</v>
      </c>
      <c r="H85" s="125"/>
      <c r="I85" s="111"/>
      <c r="J85" s="145"/>
    </row>
    <row r="86" spans="1:10" ht="12.75">
      <c r="A86" s="143">
        <v>781111013</v>
      </c>
      <c r="B86" s="99" t="s">
        <v>161</v>
      </c>
      <c r="C86" s="106"/>
      <c r="D86" s="100">
        <v>28900000</v>
      </c>
      <c r="E86" s="135">
        <v>29824000</v>
      </c>
      <c r="F86" s="413">
        <f t="shared" si="6"/>
        <v>924000</v>
      </c>
      <c r="G86" s="135">
        <f t="shared" si="7"/>
        <v>103.19723183391004</v>
      </c>
      <c r="H86" s="125"/>
      <c r="I86" s="111"/>
      <c r="J86" s="145"/>
    </row>
    <row r="87" spans="1:10" ht="12.75">
      <c r="A87" s="143">
        <v>7811110501</v>
      </c>
      <c r="B87" s="751" t="s">
        <v>371</v>
      </c>
      <c r="C87" s="747"/>
      <c r="D87" s="135">
        <v>4000000</v>
      </c>
      <c r="E87" s="135">
        <v>4915000</v>
      </c>
      <c r="F87" s="413">
        <f t="shared" si="6"/>
        <v>915000</v>
      </c>
      <c r="G87" s="135">
        <f t="shared" si="7"/>
        <v>122.875</v>
      </c>
      <c r="H87" s="125"/>
      <c r="I87" s="136"/>
      <c r="J87" s="145"/>
    </row>
    <row r="88" spans="1:9" ht="12.75">
      <c r="A88" s="143">
        <v>7811110502</v>
      </c>
      <c r="B88" s="99" t="s">
        <v>372</v>
      </c>
      <c r="C88" s="90"/>
      <c r="D88" s="135">
        <v>134000</v>
      </c>
      <c r="E88" s="116">
        <v>134000</v>
      </c>
      <c r="F88" s="413">
        <f t="shared" si="6"/>
        <v>0</v>
      </c>
      <c r="G88" s="135">
        <f t="shared" si="7"/>
        <v>100</v>
      </c>
      <c r="H88" s="120"/>
      <c r="I88" s="136"/>
    </row>
    <row r="89" spans="2:9" ht="12.75">
      <c r="B89" s="118" t="s">
        <v>373</v>
      </c>
      <c r="C89" s="118"/>
      <c r="D89" s="119">
        <f>D73+D74+D77+D79</f>
        <v>299355200</v>
      </c>
      <c r="E89" s="119">
        <f>E78+E79+E77</f>
        <v>321395500</v>
      </c>
      <c r="F89" s="414">
        <f t="shared" si="6"/>
        <v>22040300</v>
      </c>
      <c r="G89" s="106">
        <f t="shared" si="7"/>
        <v>107.36259132963116</v>
      </c>
      <c r="H89" s="91"/>
      <c r="I89" s="91"/>
    </row>
    <row r="90" spans="4:6" ht="12.75">
      <c r="D90" s="422"/>
      <c r="E90" s="421"/>
      <c r="F90" s="421"/>
    </row>
    <row r="91" spans="5:7" ht="12.75">
      <c r="E91" s="139"/>
      <c r="G91" s="136"/>
    </row>
    <row r="92" ht="12.75">
      <c r="G92" s="180"/>
    </row>
    <row r="93" ht="12.75">
      <c r="G93" s="132"/>
    </row>
  </sheetData>
  <sheetProtection/>
  <mergeCells count="14">
    <mergeCell ref="B87:C87"/>
    <mergeCell ref="B8:C8"/>
    <mergeCell ref="B57:C57"/>
    <mergeCell ref="B47:C47"/>
    <mergeCell ref="B39:C39"/>
    <mergeCell ref="B68:C68"/>
    <mergeCell ref="B75:C75"/>
    <mergeCell ref="B76:C76"/>
    <mergeCell ref="B49:C49"/>
    <mergeCell ref="B50:C50"/>
    <mergeCell ref="G5:I5"/>
    <mergeCell ref="J5:K5"/>
    <mergeCell ref="D5:F5"/>
    <mergeCell ref="B6:C6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0"/>
  <sheetViews>
    <sheetView workbookViewId="0" topLeftCell="A827">
      <selection activeCell="D839" sqref="D839"/>
    </sheetView>
  </sheetViews>
  <sheetFormatPr defaultColWidth="9.140625" defaultRowHeight="12.75"/>
  <cols>
    <col min="1" max="1" width="10.57421875" style="0" customWidth="1"/>
    <col min="2" max="2" width="31.00390625" style="0" customWidth="1"/>
    <col min="3" max="3" width="15.57421875" style="0" customWidth="1"/>
    <col min="4" max="4" width="16.421875" style="0" customWidth="1"/>
    <col min="5" max="5" width="12.7109375" style="0" customWidth="1"/>
    <col min="6" max="6" width="13.421875" style="0" customWidth="1"/>
    <col min="7" max="7" width="12.7109375" style="0" hidden="1" customWidth="1"/>
    <col min="8" max="8" width="11.00390625" style="0" customWidth="1"/>
    <col min="9" max="9" width="14.57421875" style="0" customWidth="1"/>
    <col min="10" max="10" width="6.8515625" style="0" customWidth="1"/>
    <col min="11" max="11" width="7.7109375" style="0" customWidth="1"/>
    <col min="12" max="12" width="16.28125" style="0" customWidth="1"/>
    <col min="13" max="13" width="14.421875" style="0" customWidth="1"/>
    <col min="14" max="14" width="12.7109375" style="0" customWidth="1"/>
    <col min="15" max="15" width="12.28125" style="0" customWidth="1"/>
  </cols>
  <sheetData>
    <row r="1" spans="1:10" ht="12.75">
      <c r="A1" s="121"/>
      <c r="B1" s="147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21"/>
      <c r="B2" s="147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48" t="s">
        <v>348</v>
      </c>
      <c r="B3" s="148"/>
      <c r="C3" s="148"/>
      <c r="D3" s="149"/>
      <c r="E3" s="149" t="s">
        <v>220</v>
      </c>
      <c r="F3" s="149"/>
      <c r="G3" s="149"/>
      <c r="H3" s="150"/>
      <c r="I3" s="150"/>
      <c r="J3" s="150"/>
    </row>
    <row r="4" spans="1:10" ht="45">
      <c r="A4" s="152" t="s">
        <v>0</v>
      </c>
      <c r="B4" s="152" t="s">
        <v>1</v>
      </c>
      <c r="C4" s="167" t="s">
        <v>349</v>
      </c>
      <c r="D4" s="167" t="s">
        <v>350</v>
      </c>
      <c r="E4" s="167" t="s">
        <v>352</v>
      </c>
      <c r="F4" s="167" t="s">
        <v>353</v>
      </c>
      <c r="G4" s="229"/>
      <c r="H4" s="229"/>
      <c r="I4" s="124"/>
      <c r="J4" s="124"/>
    </row>
    <row r="5" spans="1:10" ht="12.75">
      <c r="A5" s="158">
        <v>74212101</v>
      </c>
      <c r="B5" s="158" t="s">
        <v>140</v>
      </c>
      <c r="C5" s="159">
        <v>880000</v>
      </c>
      <c r="D5" s="100">
        <f>C5*2</f>
        <v>1760000</v>
      </c>
      <c r="E5" s="100">
        <f>D5*100/C5</f>
        <v>200</v>
      </c>
      <c r="F5" s="100"/>
      <c r="G5" s="111"/>
      <c r="H5" s="111"/>
      <c r="I5" s="111"/>
      <c r="J5" s="111"/>
    </row>
    <row r="6" spans="1:10" ht="12.75">
      <c r="A6" s="99">
        <v>74212102</v>
      </c>
      <c r="B6" s="99" t="s">
        <v>142</v>
      </c>
      <c r="C6" s="101">
        <v>7200000</v>
      </c>
      <c r="D6" s="100">
        <f aca="true" t="shared" si="0" ref="D6:D32">C6*2</f>
        <v>14400000</v>
      </c>
      <c r="E6" s="100">
        <f aca="true" t="shared" si="1" ref="E6:E34">D6*100/C6</f>
        <v>200</v>
      </c>
      <c r="F6" s="100"/>
      <c r="G6" s="111"/>
      <c r="H6" s="111"/>
      <c r="I6" s="111"/>
      <c r="J6" s="111"/>
    </row>
    <row r="7" spans="1:10" ht="12.75">
      <c r="A7" s="99">
        <v>74212103</v>
      </c>
      <c r="B7" s="99" t="s">
        <v>139</v>
      </c>
      <c r="C7" s="106"/>
      <c r="D7" s="100"/>
      <c r="E7" s="100"/>
      <c r="F7" s="100"/>
      <c r="G7" s="111"/>
      <c r="H7" s="111"/>
      <c r="I7" s="111"/>
      <c r="J7" s="111"/>
    </row>
    <row r="8" spans="1:10" ht="12.75">
      <c r="A8" s="99">
        <v>74212111</v>
      </c>
      <c r="B8" s="99" t="s">
        <v>141</v>
      </c>
      <c r="C8" s="101">
        <v>250000</v>
      </c>
      <c r="D8" s="100">
        <f t="shared" si="0"/>
        <v>500000</v>
      </c>
      <c r="E8" s="100">
        <f t="shared" si="1"/>
        <v>200</v>
      </c>
      <c r="F8" s="100"/>
      <c r="G8" s="111"/>
      <c r="H8" s="111"/>
      <c r="I8" s="111"/>
      <c r="J8" s="111"/>
    </row>
    <row r="9" spans="1:10" ht="12.75">
      <c r="A9" s="99">
        <v>74212112</v>
      </c>
      <c r="B9" s="99" t="s">
        <v>143</v>
      </c>
      <c r="C9" s="101">
        <v>250000</v>
      </c>
      <c r="D9" s="100">
        <f t="shared" si="0"/>
        <v>500000</v>
      </c>
      <c r="E9" s="100">
        <f t="shared" si="1"/>
        <v>200</v>
      </c>
      <c r="F9" s="100"/>
      <c r="G9" s="111"/>
      <c r="H9" s="111"/>
      <c r="I9" s="111"/>
      <c r="J9" s="111"/>
    </row>
    <row r="10" spans="1:10" ht="12.75">
      <c r="A10" s="99">
        <v>74212113</v>
      </c>
      <c r="B10" s="99" t="s">
        <v>144</v>
      </c>
      <c r="C10" s="101"/>
      <c r="D10" s="100"/>
      <c r="E10" s="100"/>
      <c r="F10" s="100"/>
      <c r="G10" s="111"/>
      <c r="H10" s="111"/>
      <c r="I10" s="111"/>
      <c r="J10" s="111"/>
    </row>
    <row r="11" spans="1:10" ht="12.75">
      <c r="A11" s="99">
        <v>7421216</v>
      </c>
      <c r="B11" s="99" t="s">
        <v>145</v>
      </c>
      <c r="C11" s="101">
        <v>160000</v>
      </c>
      <c r="D11" s="100">
        <f t="shared" si="0"/>
        <v>320000</v>
      </c>
      <c r="E11" s="100">
        <f t="shared" si="1"/>
        <v>200</v>
      </c>
      <c r="F11" s="100"/>
      <c r="G11" s="111"/>
      <c r="H11" s="111"/>
      <c r="I11" s="111"/>
      <c r="J11" s="111"/>
    </row>
    <row r="12" spans="1:10" ht="12.75">
      <c r="A12" s="99">
        <v>7421217</v>
      </c>
      <c r="B12" s="99" t="s">
        <v>146</v>
      </c>
      <c r="C12" s="101">
        <v>18716000</v>
      </c>
      <c r="D12" s="230">
        <f>C12*2-2700000</f>
        <v>34732000</v>
      </c>
      <c r="E12" s="100">
        <f t="shared" si="1"/>
        <v>185.57384056422313</v>
      </c>
      <c r="F12" s="100"/>
      <c r="G12" s="111"/>
      <c r="H12" s="111"/>
      <c r="I12" s="111"/>
      <c r="J12" s="111"/>
    </row>
    <row r="13" spans="1:10" ht="12.75">
      <c r="A13" s="99">
        <v>74212171</v>
      </c>
      <c r="B13" s="99" t="s">
        <v>147</v>
      </c>
      <c r="C13" s="135">
        <v>4620000</v>
      </c>
      <c r="D13" s="100">
        <f t="shared" si="0"/>
        <v>9240000</v>
      </c>
      <c r="E13" s="100">
        <f t="shared" si="1"/>
        <v>200</v>
      </c>
      <c r="F13" s="100"/>
      <c r="G13" s="111"/>
      <c r="H13" s="111"/>
      <c r="I13" s="111"/>
      <c r="J13" s="111"/>
    </row>
    <row r="14" spans="1:10" ht="12.75">
      <c r="A14" s="99">
        <v>742161</v>
      </c>
      <c r="B14" s="99" t="s">
        <v>148</v>
      </c>
      <c r="C14" s="101">
        <v>160000</v>
      </c>
      <c r="D14" s="100">
        <f t="shared" si="0"/>
        <v>320000</v>
      </c>
      <c r="E14" s="100">
        <f t="shared" si="1"/>
        <v>200</v>
      </c>
      <c r="F14" s="100"/>
      <c r="G14" s="111"/>
      <c r="H14" s="111"/>
      <c r="I14" s="111"/>
      <c r="J14" s="111"/>
    </row>
    <row r="15" spans="1:10" ht="12.75">
      <c r="A15" s="137">
        <v>7421</v>
      </c>
      <c r="B15" s="137" t="s">
        <v>149</v>
      </c>
      <c r="C15" s="106">
        <f>SUM(C5:C14)</f>
        <v>32236000</v>
      </c>
      <c r="D15" s="142">
        <f>SUM(D5:D14)</f>
        <v>61772000</v>
      </c>
      <c r="E15" s="100">
        <f t="shared" si="1"/>
        <v>191.62427100136495</v>
      </c>
      <c r="F15" s="142">
        <f>D15*100/589772000</f>
        <v>10.473878041005676</v>
      </c>
      <c r="G15" s="169"/>
      <c r="H15" s="169"/>
      <c r="I15" s="169"/>
      <c r="J15" s="169"/>
    </row>
    <row r="16" spans="1:10" ht="12.75">
      <c r="A16" s="99">
        <v>7451611</v>
      </c>
      <c r="B16" s="99" t="s">
        <v>150</v>
      </c>
      <c r="C16" s="101"/>
      <c r="D16" s="100"/>
      <c r="E16" s="100"/>
      <c r="F16" s="142"/>
      <c r="G16" s="169"/>
      <c r="H16" s="111"/>
      <c r="I16" s="111"/>
      <c r="J16" s="111"/>
    </row>
    <row r="17" spans="1:10" ht="12.75">
      <c r="A17" s="137">
        <v>7451</v>
      </c>
      <c r="B17" s="137" t="s">
        <v>151</v>
      </c>
      <c r="C17" s="101"/>
      <c r="D17" s="100"/>
      <c r="E17" s="100"/>
      <c r="F17" s="142"/>
      <c r="G17" s="169"/>
      <c r="H17" s="111"/>
      <c r="I17" s="111"/>
      <c r="J17" s="111"/>
    </row>
    <row r="18" spans="1:10" ht="12.75">
      <c r="A18" s="99">
        <v>7711111</v>
      </c>
      <c r="B18" s="99" t="s">
        <v>152</v>
      </c>
      <c r="C18" s="101"/>
      <c r="D18" s="100"/>
      <c r="E18" s="100"/>
      <c r="F18" s="142"/>
      <c r="G18" s="169"/>
      <c r="H18" s="111"/>
      <c r="I18" s="111"/>
      <c r="J18" s="111"/>
    </row>
    <row r="19" spans="1:10" ht="12.75">
      <c r="A19" s="99">
        <v>7711112</v>
      </c>
      <c r="B19" s="99" t="s">
        <v>153</v>
      </c>
      <c r="C19" s="101"/>
      <c r="D19" s="100"/>
      <c r="E19" s="100"/>
      <c r="F19" s="142"/>
      <c r="G19" s="169"/>
      <c r="H19" s="111"/>
      <c r="I19" s="111"/>
      <c r="J19" s="111"/>
    </row>
    <row r="20" spans="1:10" ht="12.75">
      <c r="A20" s="137">
        <v>7711</v>
      </c>
      <c r="B20" s="137" t="s">
        <v>154</v>
      </c>
      <c r="C20" s="106">
        <v>3000000</v>
      </c>
      <c r="D20" s="142">
        <f t="shared" si="0"/>
        <v>6000000</v>
      </c>
      <c r="E20" s="100">
        <f t="shared" si="1"/>
        <v>200</v>
      </c>
      <c r="F20" s="142">
        <f>D20*100/589772000</f>
        <v>1.0173422949885718</v>
      </c>
      <c r="G20" s="169"/>
      <c r="H20" s="113"/>
      <c r="I20" s="113"/>
      <c r="J20" s="113"/>
    </row>
    <row r="21" spans="1:10" ht="12.75">
      <c r="A21" s="143">
        <v>7811110101</v>
      </c>
      <c r="B21" s="99" t="s">
        <v>155</v>
      </c>
      <c r="C21" s="100">
        <v>187186000</v>
      </c>
      <c r="D21" s="100">
        <f t="shared" si="0"/>
        <v>374372000</v>
      </c>
      <c r="E21" s="100">
        <f t="shared" si="1"/>
        <v>200</v>
      </c>
      <c r="F21" s="142"/>
      <c r="G21" s="169"/>
      <c r="H21" s="111"/>
      <c r="I21" s="111"/>
      <c r="J21" s="111"/>
    </row>
    <row r="22" spans="1:10" ht="12.75">
      <c r="A22" s="143">
        <v>7811110102</v>
      </c>
      <c r="B22" s="99" t="s">
        <v>156</v>
      </c>
      <c r="C22" s="100">
        <v>4025000</v>
      </c>
      <c r="D22" s="100">
        <f t="shared" si="0"/>
        <v>8050000</v>
      </c>
      <c r="E22" s="100">
        <f t="shared" si="1"/>
        <v>200</v>
      </c>
      <c r="F22" s="142"/>
      <c r="G22" s="169"/>
      <c r="H22" s="111"/>
      <c r="I22" s="111"/>
      <c r="J22" s="111"/>
    </row>
    <row r="23" spans="1:10" ht="12.75">
      <c r="A23" s="143">
        <v>7811110103</v>
      </c>
      <c r="B23" s="99" t="s">
        <v>157</v>
      </c>
      <c r="C23" s="100">
        <v>14025000</v>
      </c>
      <c r="D23" s="100">
        <f t="shared" si="0"/>
        <v>28050000</v>
      </c>
      <c r="E23" s="100">
        <f t="shared" si="1"/>
        <v>200</v>
      </c>
      <c r="F23" s="142"/>
      <c r="G23" s="169"/>
      <c r="H23" s="111"/>
      <c r="I23" s="111"/>
      <c r="J23" s="111"/>
    </row>
    <row r="24" spans="1:10" ht="12.75">
      <c r="A24" s="143">
        <v>7811110104</v>
      </c>
      <c r="B24" s="99" t="s">
        <v>158</v>
      </c>
      <c r="C24" s="100">
        <v>8777000</v>
      </c>
      <c r="D24" s="100">
        <f t="shared" si="0"/>
        <v>17554000</v>
      </c>
      <c r="E24" s="100">
        <f t="shared" si="1"/>
        <v>200</v>
      </c>
      <c r="F24" s="142"/>
      <c r="G24" s="169"/>
      <c r="H24" s="111"/>
      <c r="I24" s="111"/>
      <c r="J24" s="111"/>
    </row>
    <row r="25" spans="1:10" ht="12.75">
      <c r="A25" s="143">
        <v>7811110105</v>
      </c>
      <c r="B25" s="99" t="s">
        <v>159</v>
      </c>
      <c r="C25" s="100">
        <v>5965000</v>
      </c>
      <c r="D25" s="100">
        <f t="shared" si="0"/>
        <v>11930000</v>
      </c>
      <c r="E25" s="100">
        <f t="shared" si="1"/>
        <v>200</v>
      </c>
      <c r="F25" s="142"/>
      <c r="G25" s="169"/>
      <c r="H25" s="111"/>
      <c r="I25" s="111"/>
      <c r="J25" s="111"/>
    </row>
    <row r="26" spans="1:10" ht="12.75">
      <c r="A26" s="143">
        <v>7811110106</v>
      </c>
      <c r="B26" s="99" t="s">
        <v>160</v>
      </c>
      <c r="C26" s="100">
        <v>5356000</v>
      </c>
      <c r="D26" s="100">
        <f t="shared" si="0"/>
        <v>10712000</v>
      </c>
      <c r="E26" s="100">
        <f t="shared" si="1"/>
        <v>200</v>
      </c>
      <c r="F26" s="142"/>
      <c r="G26" s="169"/>
      <c r="H26" s="111"/>
      <c r="I26" s="111"/>
      <c r="J26" s="111"/>
    </row>
    <row r="27" spans="1:10" ht="12.75">
      <c r="A27" s="143">
        <v>781111013</v>
      </c>
      <c r="B27" s="99" t="s">
        <v>161</v>
      </c>
      <c r="C27" s="100">
        <v>28900000</v>
      </c>
      <c r="D27" s="100">
        <f t="shared" si="0"/>
        <v>57800000</v>
      </c>
      <c r="E27" s="100">
        <f t="shared" si="1"/>
        <v>200</v>
      </c>
      <c r="F27" s="142"/>
      <c r="G27" s="169"/>
      <c r="H27" s="111"/>
      <c r="I27" s="111"/>
      <c r="J27" s="111"/>
    </row>
    <row r="28" spans="1:10" ht="12.75">
      <c r="A28" s="143">
        <v>7811110501</v>
      </c>
      <c r="B28" s="99" t="s">
        <v>162</v>
      </c>
      <c r="C28" s="135">
        <v>4000000</v>
      </c>
      <c r="D28" s="100">
        <f t="shared" si="0"/>
        <v>8000000</v>
      </c>
      <c r="E28" s="100">
        <f t="shared" si="1"/>
        <v>200</v>
      </c>
      <c r="F28" s="142"/>
      <c r="G28" s="169"/>
      <c r="H28" s="111"/>
      <c r="I28" s="111"/>
      <c r="J28" s="111"/>
    </row>
    <row r="29" spans="1:10" ht="12.75">
      <c r="A29" s="143">
        <v>7811110502</v>
      </c>
      <c r="B29" s="99" t="s">
        <v>163</v>
      </c>
      <c r="C29" s="135">
        <v>134000</v>
      </c>
      <c r="D29" s="100">
        <f t="shared" si="0"/>
        <v>268000</v>
      </c>
      <c r="E29" s="100">
        <f t="shared" si="1"/>
        <v>200</v>
      </c>
      <c r="F29" s="142"/>
      <c r="G29" s="169"/>
      <c r="H29" s="111"/>
      <c r="I29" s="111"/>
      <c r="J29" s="111"/>
    </row>
    <row r="30" spans="1:10" ht="12.75">
      <c r="A30" s="143">
        <v>7811110511</v>
      </c>
      <c r="B30" s="99" t="s">
        <v>164</v>
      </c>
      <c r="C30" s="135"/>
      <c r="D30" s="100">
        <f t="shared" si="0"/>
        <v>0</v>
      </c>
      <c r="E30" s="100"/>
      <c r="F30" s="142"/>
      <c r="G30" s="169"/>
      <c r="H30" s="111"/>
      <c r="I30" s="111"/>
      <c r="J30" s="111"/>
    </row>
    <row r="31" spans="1:10" ht="12.75">
      <c r="A31" s="143">
        <v>7811110512</v>
      </c>
      <c r="B31" s="99" t="s">
        <v>165</v>
      </c>
      <c r="C31" s="135"/>
      <c r="D31" s="100">
        <f t="shared" si="0"/>
        <v>0</v>
      </c>
      <c r="E31" s="100"/>
      <c r="F31" s="142"/>
      <c r="G31" s="169"/>
      <c r="H31" s="111"/>
      <c r="I31" s="111"/>
      <c r="J31" s="111"/>
    </row>
    <row r="32" spans="1:10" ht="12.75">
      <c r="A32" s="137">
        <v>7811</v>
      </c>
      <c r="B32" s="137" t="s">
        <v>166</v>
      </c>
      <c r="C32" s="138">
        <v>258500000</v>
      </c>
      <c r="D32" s="142">
        <f t="shared" si="0"/>
        <v>517000000</v>
      </c>
      <c r="E32" s="100">
        <f t="shared" si="1"/>
        <v>200</v>
      </c>
      <c r="F32" s="142">
        <f>D32*100/589772000</f>
        <v>87.66099441818194</v>
      </c>
      <c r="G32" s="169"/>
      <c r="H32" s="113"/>
      <c r="I32" s="113"/>
      <c r="J32" s="113"/>
    </row>
    <row r="33" spans="1:10" ht="12.75">
      <c r="A33" s="145"/>
      <c r="B33" s="121"/>
      <c r="C33" s="101"/>
      <c r="D33" s="100"/>
      <c r="E33" s="100"/>
      <c r="F33" s="142"/>
      <c r="G33" s="169"/>
      <c r="H33" s="111"/>
      <c r="I33" s="111"/>
      <c r="J33" s="111"/>
    </row>
    <row r="34" spans="1:10" ht="12.75">
      <c r="A34" s="145"/>
      <c r="B34" s="137" t="s">
        <v>351</v>
      </c>
      <c r="C34" s="138">
        <f>C32+C20+C17+C15</f>
        <v>293736000</v>
      </c>
      <c r="D34" s="142">
        <f>D15+D20+D32</f>
        <v>584772000</v>
      </c>
      <c r="E34" s="100">
        <f t="shared" si="1"/>
        <v>199.08080725549473</v>
      </c>
      <c r="F34" s="142">
        <f>D34*100/589772000</f>
        <v>99.15221475417619</v>
      </c>
      <c r="G34" s="169"/>
      <c r="H34" s="113"/>
      <c r="I34" s="113"/>
      <c r="J34" s="113"/>
    </row>
    <row r="35" spans="1:10" ht="12.75">
      <c r="A35" s="145"/>
      <c r="B35" s="137" t="s">
        <v>264</v>
      </c>
      <c r="C35" s="106">
        <f>C36+C37+C38</f>
        <v>5751200</v>
      </c>
      <c r="D35" s="142">
        <v>5000000</v>
      </c>
      <c r="E35" s="138">
        <f>D35*100/C35</f>
        <v>86.93837807761858</v>
      </c>
      <c r="F35" s="142">
        <f>D35*100/589772000</f>
        <v>0.8477852458238099</v>
      </c>
      <c r="G35" s="169"/>
      <c r="H35" s="113"/>
      <c r="I35" s="113"/>
      <c r="J35" s="113"/>
    </row>
    <row r="36" spans="1:10" ht="12.75">
      <c r="A36" s="145"/>
      <c r="B36" s="155" t="s">
        <v>190</v>
      </c>
      <c r="C36" s="135">
        <v>3500000</v>
      </c>
      <c r="D36" s="100"/>
      <c r="E36" s="138"/>
      <c r="F36" s="138"/>
      <c r="G36" s="113"/>
      <c r="H36" s="111"/>
      <c r="I36" s="111"/>
      <c r="J36" s="111"/>
    </row>
    <row r="37" spans="1:10" ht="12.75">
      <c r="A37" s="145"/>
      <c r="B37" s="155" t="s">
        <v>191</v>
      </c>
      <c r="C37" s="135">
        <v>1437000</v>
      </c>
      <c r="D37" s="100"/>
      <c r="E37" s="101"/>
      <c r="F37" s="101"/>
      <c r="G37" s="122"/>
      <c r="H37" s="122"/>
      <c r="I37" s="122"/>
      <c r="J37" s="122"/>
    </row>
    <row r="38" spans="1:10" ht="12.75">
      <c r="A38" s="145"/>
      <c r="B38" s="84" t="s">
        <v>326</v>
      </c>
      <c r="C38" s="135">
        <v>814200</v>
      </c>
      <c r="D38" s="100"/>
      <c r="E38" s="101"/>
      <c r="F38" s="101"/>
      <c r="G38" s="122"/>
      <c r="H38" s="122"/>
      <c r="I38" s="122"/>
      <c r="J38" s="122"/>
    </row>
    <row r="39" spans="1:10" ht="12.75">
      <c r="A39" s="145"/>
      <c r="B39" s="137" t="s">
        <v>206</v>
      </c>
      <c r="C39" s="142">
        <f>C34+C35</f>
        <v>299487200</v>
      </c>
      <c r="D39" s="142">
        <f>SUM(D34:D38)</f>
        <v>589772000</v>
      </c>
      <c r="E39" s="106">
        <f>D39*100/C39</f>
        <v>196.927281032378</v>
      </c>
      <c r="F39" s="106">
        <v>100</v>
      </c>
      <c r="G39" s="125"/>
      <c r="H39" s="169"/>
      <c r="I39" s="169"/>
      <c r="J39" s="169"/>
    </row>
    <row r="40" spans="1:10" ht="12.75">
      <c r="A40" s="145"/>
      <c r="B40" s="147"/>
      <c r="C40" s="195"/>
      <c r="D40" s="146"/>
      <c r="E40" s="146"/>
      <c r="F40" s="146"/>
      <c r="G40" s="146"/>
      <c r="H40" s="146"/>
      <c r="I40" s="146"/>
      <c r="J40" s="146"/>
    </row>
    <row r="41" spans="1:10" ht="12.75">
      <c r="A41" s="145"/>
      <c r="B41" s="147"/>
      <c r="C41" s="195"/>
      <c r="D41" s="146"/>
      <c r="E41" s="146"/>
      <c r="F41" s="146"/>
      <c r="G41" s="146"/>
      <c r="H41" s="146"/>
      <c r="I41" s="146"/>
      <c r="J41" s="146"/>
    </row>
    <row r="42" spans="1:10" ht="12.75">
      <c r="A42" s="145"/>
      <c r="B42" s="147"/>
      <c r="C42" s="195"/>
      <c r="D42" s="146"/>
      <c r="E42" s="146"/>
      <c r="F42" s="146"/>
      <c r="G42" s="146"/>
      <c r="H42" s="146"/>
      <c r="I42" s="146"/>
      <c r="J42" s="146"/>
    </row>
    <row r="43" spans="1:10" ht="12.75">
      <c r="A43" s="145"/>
      <c r="B43" s="147"/>
      <c r="C43" s="195"/>
      <c r="D43" s="146"/>
      <c r="E43" s="146"/>
      <c r="F43" s="146"/>
      <c r="G43" s="146"/>
      <c r="H43" s="146"/>
      <c r="I43" s="146"/>
      <c r="J43" s="146"/>
    </row>
    <row r="44" spans="1:10" ht="12.75">
      <c r="A44" s="18"/>
      <c r="B44" s="15" t="s">
        <v>354</v>
      </c>
      <c r="C44" s="15"/>
      <c r="D44" s="15"/>
      <c r="E44" s="15"/>
      <c r="F44" s="91" t="s">
        <v>221</v>
      </c>
      <c r="G44" s="91"/>
      <c r="H44" s="18"/>
      <c r="I44" s="18"/>
      <c r="J44" s="18"/>
    </row>
    <row r="45" spans="1:10" ht="45">
      <c r="A45" s="167" t="s">
        <v>0</v>
      </c>
      <c r="B45" s="167" t="s">
        <v>1</v>
      </c>
      <c r="C45" s="167" t="s">
        <v>349</v>
      </c>
      <c r="D45" s="167" t="s">
        <v>350</v>
      </c>
      <c r="E45" s="167" t="s">
        <v>352</v>
      </c>
      <c r="F45" s="167" t="s">
        <v>353</v>
      </c>
      <c r="G45" s="229"/>
      <c r="H45" s="229"/>
      <c r="I45" s="234"/>
      <c r="J45" s="234"/>
    </row>
    <row r="46" spans="1:10" ht="12.75">
      <c r="A46" s="118">
        <v>4111</v>
      </c>
      <c r="B46" s="116" t="s">
        <v>92</v>
      </c>
      <c r="C46" s="90"/>
      <c r="D46" s="116"/>
      <c r="E46" s="233"/>
      <c r="F46" s="90"/>
      <c r="G46" s="120"/>
      <c r="H46" s="120"/>
      <c r="I46" s="120"/>
      <c r="J46" s="120"/>
    </row>
    <row r="47" spans="1:10" ht="12.75">
      <c r="A47" s="118">
        <v>4121</v>
      </c>
      <c r="B47" s="116" t="s">
        <v>94</v>
      </c>
      <c r="C47" s="90"/>
      <c r="D47" s="116"/>
      <c r="E47" s="233"/>
      <c r="F47" s="90"/>
      <c r="G47" s="120"/>
      <c r="H47" s="120"/>
      <c r="I47" s="120"/>
      <c r="J47" s="120"/>
    </row>
    <row r="48" spans="1:10" ht="12.75">
      <c r="A48" s="118">
        <v>4122</v>
      </c>
      <c r="B48" s="116" t="s">
        <v>14</v>
      </c>
      <c r="C48" s="90"/>
      <c r="D48" s="116"/>
      <c r="E48" s="233"/>
      <c r="F48" s="90"/>
      <c r="G48" s="120"/>
      <c r="H48" s="120"/>
      <c r="I48" s="120"/>
      <c r="J48" s="120"/>
    </row>
    <row r="49" spans="1:10" ht="12.75">
      <c r="A49" s="118">
        <v>4123</v>
      </c>
      <c r="B49" s="116" t="s">
        <v>96</v>
      </c>
      <c r="C49" s="90"/>
      <c r="D49" s="116"/>
      <c r="E49" s="233"/>
      <c r="F49" s="90"/>
      <c r="G49" s="120"/>
      <c r="H49" s="120"/>
      <c r="I49" s="120"/>
      <c r="J49" s="120"/>
    </row>
    <row r="50" spans="1:10" ht="12.75">
      <c r="A50" s="118"/>
      <c r="B50" s="90" t="s">
        <v>255</v>
      </c>
      <c r="C50" s="90">
        <f>7500000+216220000</f>
        <v>223720000</v>
      </c>
      <c r="D50" s="90">
        <f>C50*2</f>
        <v>447440000</v>
      </c>
      <c r="E50" s="228">
        <f>D50*100/C50</f>
        <v>200</v>
      </c>
      <c r="F50" s="90">
        <f>D50*100/589772000</f>
        <v>75.8666060782811</v>
      </c>
      <c r="G50" s="120"/>
      <c r="H50" s="120"/>
      <c r="I50" s="120"/>
      <c r="J50" s="120"/>
    </row>
    <row r="51" spans="1:10" ht="12.75">
      <c r="A51" s="118">
        <v>4131</v>
      </c>
      <c r="B51" s="90" t="s">
        <v>178</v>
      </c>
      <c r="C51" s="90">
        <f>380000+4000000</f>
        <v>4380000</v>
      </c>
      <c r="D51" s="90">
        <f aca="true" t="shared" si="2" ref="D51:D78">C51*2</f>
        <v>8760000</v>
      </c>
      <c r="E51" s="228">
        <f aca="true" t="shared" si="3" ref="E51:E86">D51*100/C51</f>
        <v>200</v>
      </c>
      <c r="F51" s="90">
        <f aca="true" t="shared" si="4" ref="F51:F83">D51*100/589772000</f>
        <v>1.485319750683315</v>
      </c>
      <c r="G51" s="120"/>
      <c r="H51" s="120"/>
      <c r="I51" s="120"/>
      <c r="J51" s="120"/>
    </row>
    <row r="52" spans="1:10" ht="12.75">
      <c r="A52" s="118">
        <v>4141</v>
      </c>
      <c r="B52" s="90" t="s">
        <v>98</v>
      </c>
      <c r="C52" s="90">
        <v>3000000</v>
      </c>
      <c r="D52" s="90">
        <f t="shared" si="2"/>
        <v>6000000</v>
      </c>
      <c r="E52" s="228">
        <f t="shared" si="3"/>
        <v>200</v>
      </c>
      <c r="F52" s="90">
        <f t="shared" si="4"/>
        <v>1.0173422949885718</v>
      </c>
      <c r="G52" s="120"/>
      <c r="H52" s="120"/>
      <c r="I52" s="120"/>
      <c r="J52" s="120"/>
    </row>
    <row r="53" spans="1:10" ht="12.75">
      <c r="A53" s="118"/>
      <c r="B53" s="90" t="s">
        <v>179</v>
      </c>
      <c r="C53" s="90">
        <f>C54+C55+C56+C57+C58+C59+C60+C61+C62+C63+C64+C65+C66+C67+C68+C69+C70+C71+C72+C73+C74+C75+C76+C77+C78</f>
        <v>16540000</v>
      </c>
      <c r="D53" s="90">
        <f>D54+D55+D56+D57+D58+D59+D60+D61+D62+D63+D64+D65+D66+D67+D68+D69+D70+D71+D72+D73+D74+D75+D76+D78</f>
        <v>33080000</v>
      </c>
      <c r="E53" s="228">
        <f t="shared" si="3"/>
        <v>200</v>
      </c>
      <c r="F53" s="90">
        <f t="shared" si="4"/>
        <v>5.608947186370326</v>
      </c>
      <c r="G53" s="120"/>
      <c r="H53" s="120"/>
      <c r="I53" s="120"/>
      <c r="J53" s="120"/>
    </row>
    <row r="54" spans="1:10" ht="12.75">
      <c r="A54" s="118">
        <v>4143</v>
      </c>
      <c r="B54" s="116" t="s">
        <v>99</v>
      </c>
      <c r="C54" s="116">
        <f>650000+720000</f>
        <v>1370000</v>
      </c>
      <c r="D54" s="116">
        <f t="shared" si="2"/>
        <v>2740000</v>
      </c>
      <c r="E54" s="233">
        <f t="shared" si="3"/>
        <v>200</v>
      </c>
      <c r="F54" s="116">
        <f t="shared" si="4"/>
        <v>0.4645863147114478</v>
      </c>
      <c r="G54" s="144"/>
      <c r="H54" s="144"/>
      <c r="I54" s="144"/>
      <c r="J54" s="144"/>
    </row>
    <row r="55" spans="1:10" ht="12.75">
      <c r="A55" s="118">
        <v>4211</v>
      </c>
      <c r="B55" s="116" t="s">
        <v>101</v>
      </c>
      <c r="C55" s="116">
        <f>100000+680000</f>
        <v>780000</v>
      </c>
      <c r="D55" s="116">
        <f t="shared" si="2"/>
        <v>1560000</v>
      </c>
      <c r="E55" s="233">
        <f t="shared" si="3"/>
        <v>200</v>
      </c>
      <c r="F55" s="116">
        <f t="shared" si="4"/>
        <v>0.2645089966970287</v>
      </c>
      <c r="G55" s="144"/>
      <c r="H55" s="144"/>
      <c r="I55" s="144"/>
      <c r="J55" s="144"/>
    </row>
    <row r="56" spans="1:10" ht="12.75">
      <c r="A56" s="118">
        <v>4213</v>
      </c>
      <c r="B56" s="116" t="s">
        <v>103</v>
      </c>
      <c r="C56" s="116">
        <f>110000+1500000</f>
        <v>1610000</v>
      </c>
      <c r="D56" s="116">
        <f t="shared" si="2"/>
        <v>3220000</v>
      </c>
      <c r="E56" s="233">
        <f t="shared" si="3"/>
        <v>200</v>
      </c>
      <c r="F56" s="116">
        <f t="shared" si="4"/>
        <v>0.5459736983105336</v>
      </c>
      <c r="G56" s="144"/>
      <c r="H56" s="144"/>
      <c r="I56" s="144"/>
      <c r="J56" s="144"/>
    </row>
    <row r="57" spans="1:10" ht="12.75">
      <c r="A57" s="118">
        <v>4214</v>
      </c>
      <c r="B57" s="116" t="s">
        <v>104</v>
      </c>
      <c r="C57" s="116">
        <v>650000</v>
      </c>
      <c r="D57" s="116">
        <f t="shared" si="2"/>
        <v>1300000</v>
      </c>
      <c r="E57" s="233">
        <f t="shared" si="3"/>
        <v>200</v>
      </c>
      <c r="F57" s="116">
        <f t="shared" si="4"/>
        <v>0.22042416391419056</v>
      </c>
      <c r="G57" s="144"/>
      <c r="H57" s="144"/>
      <c r="I57" s="144"/>
      <c r="J57" s="144"/>
    </row>
    <row r="58" spans="1:10" ht="12.75">
      <c r="A58" s="107">
        <v>4215</v>
      </c>
      <c r="B58" s="135" t="s">
        <v>169</v>
      </c>
      <c r="C58" s="135">
        <v>1600000</v>
      </c>
      <c r="D58" s="116">
        <f t="shared" si="2"/>
        <v>3200000</v>
      </c>
      <c r="E58" s="233">
        <f t="shared" si="3"/>
        <v>200</v>
      </c>
      <c r="F58" s="116">
        <f t="shared" si="4"/>
        <v>0.5425825573272384</v>
      </c>
      <c r="G58" s="144"/>
      <c r="H58" s="144"/>
      <c r="I58" s="136"/>
      <c r="J58" s="136"/>
    </row>
    <row r="59" spans="1:10" ht="12.75">
      <c r="A59" s="118">
        <v>4221</v>
      </c>
      <c r="B59" s="116" t="s">
        <v>105</v>
      </c>
      <c r="C59" s="116">
        <f>210000+100000</f>
        <v>310000</v>
      </c>
      <c r="D59" s="116">
        <f t="shared" si="2"/>
        <v>620000</v>
      </c>
      <c r="E59" s="233">
        <f t="shared" si="3"/>
        <v>200</v>
      </c>
      <c r="F59" s="116">
        <f t="shared" si="4"/>
        <v>0.10512537048215242</v>
      </c>
      <c r="G59" s="144"/>
      <c r="H59" s="144"/>
      <c r="I59" s="144"/>
      <c r="J59" s="144"/>
    </row>
    <row r="60" spans="1:10" ht="12.75">
      <c r="A60" s="118">
        <v>4232</v>
      </c>
      <c r="B60" s="116" t="s">
        <v>106</v>
      </c>
      <c r="C60" s="116">
        <v>186000</v>
      </c>
      <c r="D60" s="116">
        <f t="shared" si="2"/>
        <v>372000</v>
      </c>
      <c r="E60" s="233">
        <f t="shared" si="3"/>
        <v>200</v>
      </c>
      <c r="F60" s="116">
        <f t="shared" si="4"/>
        <v>0.06307522228929145</v>
      </c>
      <c r="G60" s="144"/>
      <c r="H60" s="144"/>
      <c r="I60" s="144"/>
      <c r="J60" s="144"/>
    </row>
    <row r="61" spans="1:10" ht="12.75">
      <c r="A61" s="118">
        <v>4233</v>
      </c>
      <c r="B61" s="116" t="s">
        <v>107</v>
      </c>
      <c r="C61" s="116">
        <f>300000</f>
        <v>300000</v>
      </c>
      <c r="D61" s="116">
        <f t="shared" si="2"/>
        <v>600000</v>
      </c>
      <c r="E61" s="233">
        <f t="shared" si="3"/>
        <v>200</v>
      </c>
      <c r="F61" s="116">
        <f t="shared" si="4"/>
        <v>0.10173422949885719</v>
      </c>
      <c r="G61" s="144"/>
      <c r="H61" s="144"/>
      <c r="I61" s="144"/>
      <c r="J61" s="144"/>
    </row>
    <row r="62" spans="1:10" ht="12.75">
      <c r="A62" s="118">
        <v>4234</v>
      </c>
      <c r="B62" s="116" t="s">
        <v>108</v>
      </c>
      <c r="C62" s="116">
        <f>130000</f>
        <v>130000</v>
      </c>
      <c r="D62" s="116">
        <f t="shared" si="2"/>
        <v>260000</v>
      </c>
      <c r="E62" s="233">
        <f t="shared" si="3"/>
        <v>200</v>
      </c>
      <c r="F62" s="116">
        <f t="shared" si="4"/>
        <v>0.04408483278283811</v>
      </c>
      <c r="G62" s="144"/>
      <c r="H62" s="144"/>
      <c r="I62" s="144"/>
      <c r="J62" s="144"/>
    </row>
    <row r="63" spans="1:10" ht="12.75">
      <c r="A63" s="118">
        <v>4235</v>
      </c>
      <c r="B63" s="116" t="s">
        <v>109</v>
      </c>
      <c r="C63" s="116">
        <f>400000+500000</f>
        <v>900000</v>
      </c>
      <c r="D63" s="116">
        <f t="shared" si="2"/>
        <v>1800000</v>
      </c>
      <c r="E63" s="233">
        <f t="shared" si="3"/>
        <v>200</v>
      </c>
      <c r="F63" s="116">
        <f t="shared" si="4"/>
        <v>0.30520268849657156</v>
      </c>
      <c r="G63" s="144"/>
      <c r="H63" s="144"/>
      <c r="I63" s="144"/>
      <c r="J63" s="144"/>
    </row>
    <row r="64" spans="1:10" ht="12.75">
      <c r="A64" s="118">
        <v>4236</v>
      </c>
      <c r="B64" s="116" t="s">
        <v>110</v>
      </c>
      <c r="C64" s="116">
        <v>1850000</v>
      </c>
      <c r="D64" s="116">
        <f t="shared" si="2"/>
        <v>3700000</v>
      </c>
      <c r="E64" s="233">
        <f t="shared" si="3"/>
        <v>200</v>
      </c>
      <c r="F64" s="116">
        <f t="shared" si="4"/>
        <v>0.6273610819096193</v>
      </c>
      <c r="G64" s="144"/>
      <c r="H64" s="144"/>
      <c r="I64" s="144"/>
      <c r="J64" s="144"/>
    </row>
    <row r="65" spans="1:10" ht="12.75">
      <c r="A65" s="118">
        <v>4237</v>
      </c>
      <c r="B65" s="116" t="s">
        <v>47</v>
      </c>
      <c r="C65" s="116">
        <f>110000</f>
        <v>110000</v>
      </c>
      <c r="D65" s="116">
        <f t="shared" si="2"/>
        <v>220000</v>
      </c>
      <c r="E65" s="233">
        <f t="shared" si="3"/>
        <v>200</v>
      </c>
      <c r="F65" s="116">
        <f t="shared" si="4"/>
        <v>0.037302550816247636</v>
      </c>
      <c r="G65" s="144"/>
      <c r="H65" s="144"/>
      <c r="I65" s="144"/>
      <c r="J65" s="144"/>
    </row>
    <row r="66" spans="1:10" ht="12.75">
      <c r="A66" s="118">
        <v>4239</v>
      </c>
      <c r="B66" s="116" t="s">
        <v>48</v>
      </c>
      <c r="C66" s="116">
        <f>200000+200000</f>
        <v>400000</v>
      </c>
      <c r="D66" s="116">
        <f t="shared" si="2"/>
        <v>800000</v>
      </c>
      <c r="E66" s="233">
        <f t="shared" si="3"/>
        <v>200</v>
      </c>
      <c r="F66" s="116">
        <f t="shared" si="4"/>
        <v>0.1356456393318096</v>
      </c>
      <c r="G66" s="144"/>
      <c r="H66" s="144"/>
      <c r="I66" s="144"/>
      <c r="J66" s="144"/>
    </row>
    <row r="67" spans="1:10" ht="12.75">
      <c r="A67" s="118">
        <v>4243</v>
      </c>
      <c r="B67" s="116" t="s">
        <v>111</v>
      </c>
      <c r="C67" s="116">
        <v>350000</v>
      </c>
      <c r="D67" s="116">
        <f t="shared" si="2"/>
        <v>700000</v>
      </c>
      <c r="E67" s="233">
        <f t="shared" si="3"/>
        <v>200</v>
      </c>
      <c r="F67" s="116">
        <f t="shared" si="4"/>
        <v>0.11868993441533339</v>
      </c>
      <c r="G67" s="144"/>
      <c r="H67" s="144"/>
      <c r="I67" s="144"/>
      <c r="J67" s="144"/>
    </row>
    <row r="68" spans="1:10" ht="12.75">
      <c r="A68" s="118">
        <v>4251</v>
      </c>
      <c r="B68" s="116" t="s">
        <v>112</v>
      </c>
      <c r="C68" s="135">
        <f>1050000</f>
        <v>1050000</v>
      </c>
      <c r="D68" s="116">
        <f t="shared" si="2"/>
        <v>2100000</v>
      </c>
      <c r="E68" s="233">
        <f t="shared" si="3"/>
        <v>200</v>
      </c>
      <c r="F68" s="116">
        <f t="shared" si="4"/>
        <v>0.3560698032460001</v>
      </c>
      <c r="G68" s="144"/>
      <c r="H68" s="144"/>
      <c r="I68" s="144"/>
      <c r="J68" s="144"/>
    </row>
    <row r="69" spans="1:10" ht="12.75">
      <c r="A69" s="118">
        <v>4252</v>
      </c>
      <c r="B69" s="116" t="s">
        <v>113</v>
      </c>
      <c r="C69" s="116">
        <f>110000+800000+280000</f>
        <v>1190000</v>
      </c>
      <c r="D69" s="116">
        <f t="shared" si="2"/>
        <v>2380000</v>
      </c>
      <c r="E69" s="233">
        <f t="shared" si="3"/>
        <v>200</v>
      </c>
      <c r="F69" s="116">
        <f t="shared" si="4"/>
        <v>0.4035457770121335</v>
      </c>
      <c r="G69" s="144"/>
      <c r="H69" s="144"/>
      <c r="I69" s="144"/>
      <c r="J69" s="144"/>
    </row>
    <row r="70" spans="1:10" ht="12.75">
      <c r="A70" s="118">
        <v>4261</v>
      </c>
      <c r="B70" s="116" t="s">
        <v>114</v>
      </c>
      <c r="C70" s="116">
        <v>1500000</v>
      </c>
      <c r="D70" s="116">
        <f t="shared" si="2"/>
        <v>3000000</v>
      </c>
      <c r="E70" s="233">
        <f t="shared" si="3"/>
        <v>200</v>
      </c>
      <c r="F70" s="116">
        <f t="shared" si="4"/>
        <v>0.5086711474942859</v>
      </c>
      <c r="G70" s="144"/>
      <c r="H70" s="144"/>
      <c r="I70" s="144"/>
      <c r="J70" s="144"/>
    </row>
    <row r="71" spans="1:10" ht="12.75">
      <c r="A71" s="118">
        <v>4263</v>
      </c>
      <c r="B71" s="116" t="s">
        <v>115</v>
      </c>
      <c r="C71" s="116">
        <f>150000</f>
        <v>150000</v>
      </c>
      <c r="D71" s="116">
        <f t="shared" si="2"/>
        <v>300000</v>
      </c>
      <c r="E71" s="233">
        <f t="shared" si="3"/>
        <v>200</v>
      </c>
      <c r="F71" s="116">
        <f t="shared" si="4"/>
        <v>0.050867114749428594</v>
      </c>
      <c r="G71" s="144"/>
      <c r="H71" s="144"/>
      <c r="I71" s="144"/>
      <c r="J71" s="144"/>
    </row>
    <row r="72" spans="1:10" ht="12.75">
      <c r="A72" s="118">
        <v>4264</v>
      </c>
      <c r="B72" s="116" t="s">
        <v>116</v>
      </c>
      <c r="C72" s="116">
        <v>850000</v>
      </c>
      <c r="D72" s="116">
        <f t="shared" si="2"/>
        <v>1700000</v>
      </c>
      <c r="E72" s="233">
        <f t="shared" si="3"/>
        <v>200</v>
      </c>
      <c r="F72" s="116">
        <f t="shared" si="4"/>
        <v>0.2882469835800954</v>
      </c>
      <c r="G72" s="144"/>
      <c r="H72" s="144"/>
      <c r="I72" s="144"/>
      <c r="J72" s="144"/>
    </row>
    <row r="73" spans="1:10" ht="12.75">
      <c r="A73" s="118">
        <v>4268</v>
      </c>
      <c r="B73" s="232" t="s">
        <v>118</v>
      </c>
      <c r="C73" s="116">
        <v>300000</v>
      </c>
      <c r="D73" s="232">
        <v>1000000</v>
      </c>
      <c r="E73" s="233">
        <f t="shared" si="3"/>
        <v>333.3333333333333</v>
      </c>
      <c r="F73" s="116">
        <f t="shared" si="4"/>
        <v>0.16955704916476197</v>
      </c>
      <c r="G73" s="144"/>
      <c r="H73" s="144"/>
      <c r="I73" s="144"/>
      <c r="J73" s="144"/>
    </row>
    <row r="74" spans="1:10" ht="12.75">
      <c r="A74" s="118">
        <v>4269</v>
      </c>
      <c r="B74" s="232" t="s">
        <v>119</v>
      </c>
      <c r="C74" s="116">
        <f>50000+500000</f>
        <v>550000</v>
      </c>
      <c r="D74" s="232">
        <v>700000</v>
      </c>
      <c r="E74" s="233">
        <f t="shared" si="3"/>
        <v>127.27272727272727</v>
      </c>
      <c r="F74" s="116">
        <f t="shared" si="4"/>
        <v>0.11868993441533339</v>
      </c>
      <c r="G74" s="144"/>
      <c r="H74" s="144"/>
      <c r="I74" s="144"/>
      <c r="J74" s="144"/>
    </row>
    <row r="75" spans="1:10" ht="12.75">
      <c r="A75" s="118">
        <v>4442</v>
      </c>
      <c r="B75" s="116" t="s">
        <v>85</v>
      </c>
      <c r="C75" s="116">
        <v>100000</v>
      </c>
      <c r="D75" s="116">
        <f t="shared" si="2"/>
        <v>200000</v>
      </c>
      <c r="E75" s="233">
        <f t="shared" si="3"/>
        <v>200</v>
      </c>
      <c r="F75" s="116">
        <f t="shared" si="4"/>
        <v>0.0339114098329524</v>
      </c>
      <c r="G75" s="144"/>
      <c r="H75" s="144"/>
      <c r="I75" s="144"/>
      <c r="J75" s="144"/>
    </row>
    <row r="76" spans="1:10" ht="12.75">
      <c r="A76" s="118">
        <v>4821</v>
      </c>
      <c r="B76" s="116" t="s">
        <v>87</v>
      </c>
      <c r="C76" s="116">
        <v>4000</v>
      </c>
      <c r="D76" s="116">
        <f t="shared" si="2"/>
        <v>8000</v>
      </c>
      <c r="E76" s="233">
        <f t="shared" si="3"/>
        <v>200</v>
      </c>
      <c r="F76" s="116">
        <f t="shared" si="4"/>
        <v>0.0013564563933180958</v>
      </c>
      <c r="G76" s="144"/>
      <c r="H76" s="144"/>
      <c r="I76" s="144"/>
      <c r="J76" s="144"/>
    </row>
    <row r="77" spans="1:10" ht="12.75">
      <c r="A77" s="118"/>
      <c r="B77" s="116" t="s">
        <v>265</v>
      </c>
      <c r="C77" s="116"/>
      <c r="D77" s="116">
        <f t="shared" si="2"/>
        <v>0</v>
      </c>
      <c r="E77" s="233"/>
      <c r="F77" s="116">
        <f t="shared" si="4"/>
        <v>0</v>
      </c>
      <c r="G77" s="144"/>
      <c r="H77" s="144"/>
      <c r="I77" s="144"/>
      <c r="J77" s="144"/>
    </row>
    <row r="78" spans="1:10" ht="12.75">
      <c r="A78" s="118">
        <v>4822</v>
      </c>
      <c r="B78" s="116" t="s">
        <v>90</v>
      </c>
      <c r="C78" s="116">
        <f>100000+200000</f>
        <v>300000</v>
      </c>
      <c r="D78" s="116">
        <f t="shared" si="2"/>
        <v>600000</v>
      </c>
      <c r="E78" s="233">
        <f t="shared" si="3"/>
        <v>200</v>
      </c>
      <c r="F78" s="116">
        <f t="shared" si="4"/>
        <v>0.10173422949885719</v>
      </c>
      <c r="G78" s="144"/>
      <c r="H78" s="144"/>
      <c r="I78" s="144"/>
      <c r="J78" s="144"/>
    </row>
    <row r="79" spans="1:10" ht="12.75">
      <c r="A79" s="118"/>
      <c r="B79" s="90" t="s">
        <v>180</v>
      </c>
      <c r="C79" s="90">
        <f>50000+14025000</f>
        <v>14075000</v>
      </c>
      <c r="D79" s="90">
        <f>C79*2</f>
        <v>28150000</v>
      </c>
      <c r="E79" s="228">
        <f t="shared" si="3"/>
        <v>200</v>
      </c>
      <c r="F79" s="90">
        <f t="shared" si="4"/>
        <v>4.77303093398805</v>
      </c>
      <c r="G79" s="120"/>
      <c r="H79" s="120"/>
      <c r="I79" s="120"/>
      <c r="J79" s="120"/>
    </row>
    <row r="80" spans="1:10" ht="12.75">
      <c r="A80" s="118"/>
      <c r="B80" s="231" t="s">
        <v>182</v>
      </c>
      <c r="C80" s="90">
        <f>5300000+5356000</f>
        <v>10656000</v>
      </c>
      <c r="D80" s="231">
        <f>5356000*2+2000000</f>
        <v>12712000</v>
      </c>
      <c r="E80" s="228">
        <f t="shared" si="3"/>
        <v>119.29429429429429</v>
      </c>
      <c r="F80" s="90">
        <f>D80*100/589772000</f>
        <v>2.155409208982454</v>
      </c>
      <c r="G80" s="120"/>
      <c r="H80" s="120"/>
      <c r="I80" s="120"/>
      <c r="J80" s="120"/>
    </row>
    <row r="81" spans="1:10" ht="12.75">
      <c r="A81" s="118"/>
      <c r="B81" s="231" t="s">
        <v>183</v>
      </c>
      <c r="C81" s="90">
        <f>5000000+5965000</f>
        <v>10965000</v>
      </c>
      <c r="D81" s="231">
        <f>5965000*2+2000000</f>
        <v>13930000</v>
      </c>
      <c r="E81" s="228">
        <f t="shared" si="3"/>
        <v>127.0405836753306</v>
      </c>
      <c r="F81" s="90">
        <f t="shared" si="4"/>
        <v>2.3619296948651343</v>
      </c>
      <c r="G81" s="120"/>
      <c r="H81" s="120"/>
      <c r="I81" s="120"/>
      <c r="J81" s="120"/>
    </row>
    <row r="82" spans="1:10" ht="12.75">
      <c r="A82" s="118"/>
      <c r="B82" s="96" t="s">
        <v>287</v>
      </c>
      <c r="C82" s="96">
        <f>C81+C80+C79+C53+C52+C51+C50</f>
        <v>283336000</v>
      </c>
      <c r="D82" s="96">
        <f>D81+D80+D79+D53+D52+D51+D50</f>
        <v>550072000</v>
      </c>
      <c r="E82" s="228">
        <f t="shared" si="3"/>
        <v>194.14123161193777</v>
      </c>
      <c r="F82" s="90">
        <f t="shared" si="4"/>
        <v>93.26858514815895</v>
      </c>
      <c r="G82" s="120"/>
      <c r="H82" s="125"/>
      <c r="I82" s="125"/>
      <c r="J82" s="125"/>
    </row>
    <row r="83" spans="1:10" ht="12.75">
      <c r="A83" s="91"/>
      <c r="B83" s="90" t="s">
        <v>195</v>
      </c>
      <c r="C83" s="90">
        <v>16151200</v>
      </c>
      <c r="D83" s="90">
        <f>D84+D85</f>
        <v>39700000</v>
      </c>
      <c r="E83" s="228"/>
      <c r="F83" s="90">
        <f t="shared" si="4"/>
        <v>6.73141485184105</v>
      </c>
      <c r="G83" s="120"/>
      <c r="H83" s="120"/>
      <c r="I83" s="120"/>
      <c r="J83" s="120"/>
    </row>
    <row r="84" spans="1:10" ht="12.75">
      <c r="A84" s="91"/>
      <c r="B84" s="116" t="s">
        <v>355</v>
      </c>
      <c r="C84" s="116">
        <v>5000000</v>
      </c>
      <c r="D84" s="116">
        <f>C84*2</f>
        <v>10000000</v>
      </c>
      <c r="E84" s="233">
        <f t="shared" si="3"/>
        <v>200</v>
      </c>
      <c r="F84" s="116">
        <f>D84*100/584772000</f>
        <v>1.7100681975197172</v>
      </c>
      <c r="G84" s="144"/>
      <c r="H84" s="120"/>
      <c r="I84" s="120"/>
      <c r="J84" s="120"/>
    </row>
    <row r="85" spans="1:10" ht="12.75">
      <c r="A85" s="91"/>
      <c r="B85" s="116" t="s">
        <v>356</v>
      </c>
      <c r="C85" s="116">
        <f>C83-C84</f>
        <v>11151200</v>
      </c>
      <c r="D85" s="116">
        <v>29700000</v>
      </c>
      <c r="E85" s="233">
        <f t="shared" si="3"/>
        <v>266.3390487122462</v>
      </c>
      <c r="F85" s="116">
        <f>D85*100/584772000</f>
        <v>5.07890254663356</v>
      </c>
      <c r="G85" s="144"/>
      <c r="H85" s="120"/>
      <c r="I85" s="120"/>
      <c r="J85" s="120"/>
    </row>
    <row r="86" spans="1:10" ht="12.75">
      <c r="A86" s="91"/>
      <c r="B86" s="231" t="s">
        <v>357</v>
      </c>
      <c r="C86" s="231">
        <f>C82+C83</f>
        <v>299487200</v>
      </c>
      <c r="D86" s="231">
        <f>D82+D83</f>
        <v>589772000</v>
      </c>
      <c r="E86" s="228">
        <f t="shared" si="3"/>
        <v>196.927281032378</v>
      </c>
      <c r="F86" s="90">
        <f>D86*100/589772000</f>
        <v>100</v>
      </c>
      <c r="G86" s="120"/>
      <c r="H86" s="120"/>
      <c r="I86" s="120"/>
      <c r="J86" s="120"/>
    </row>
    <row r="87" spans="1:10" ht="12.75">
      <c r="A87" s="91"/>
      <c r="B87" s="125"/>
      <c r="C87" s="125"/>
      <c r="D87" s="125"/>
      <c r="E87" s="120"/>
      <c r="F87" s="120"/>
      <c r="G87" s="120"/>
      <c r="H87" s="120"/>
      <c r="I87" s="120"/>
      <c r="J87" s="120"/>
    </row>
    <row r="88" spans="1:10" ht="12.75">
      <c r="A88" s="91"/>
      <c r="B88" s="125"/>
      <c r="C88" s="125"/>
      <c r="D88" s="125"/>
      <c r="E88" s="120"/>
      <c r="F88" s="120"/>
      <c r="G88" s="120"/>
      <c r="H88" s="120"/>
      <c r="I88" s="120"/>
      <c r="J88" s="120"/>
    </row>
    <row r="89" spans="1:10" ht="12.75">
      <c r="A89" s="91"/>
      <c r="B89" s="125"/>
      <c r="C89" s="125"/>
      <c r="D89" s="125"/>
      <c r="E89" s="120"/>
      <c r="F89" s="120"/>
      <c r="G89" s="120"/>
      <c r="H89" s="120"/>
      <c r="I89" s="120"/>
      <c r="J89" s="120"/>
    </row>
    <row r="90" spans="1:10" ht="12.75">
      <c r="A90" s="91"/>
      <c r="B90" s="125"/>
      <c r="C90" s="125"/>
      <c r="D90" s="125"/>
      <c r="E90" s="120"/>
      <c r="F90" s="120"/>
      <c r="G90" s="120"/>
      <c r="H90" s="120"/>
      <c r="I90" s="120"/>
      <c r="J90" s="120"/>
    </row>
    <row r="91" spans="1:10" ht="12.75">
      <c r="A91" s="91"/>
      <c r="B91" s="125"/>
      <c r="C91" s="125"/>
      <c r="D91" s="125"/>
      <c r="E91" s="120"/>
      <c r="F91" s="120"/>
      <c r="G91" s="120"/>
      <c r="H91" s="120"/>
      <c r="I91" s="120"/>
      <c r="J91" s="120"/>
    </row>
    <row r="92" spans="1:10" ht="12.75">
      <c r="A92" s="91"/>
      <c r="B92" s="125"/>
      <c r="C92" s="125"/>
      <c r="D92" s="125"/>
      <c r="E92" s="120"/>
      <c r="F92" s="120"/>
      <c r="G92" s="120"/>
      <c r="H92" s="120"/>
      <c r="I92" s="120"/>
      <c r="J92" s="120"/>
    </row>
    <row r="93" spans="1:10" ht="12.75">
      <c r="A93" s="91"/>
      <c r="B93" s="125"/>
      <c r="C93" s="125"/>
      <c r="D93" s="125"/>
      <c r="E93" s="120"/>
      <c r="F93" s="120"/>
      <c r="G93" s="120"/>
      <c r="H93" s="120"/>
      <c r="I93" s="120"/>
      <c r="J93" s="120"/>
    </row>
    <row r="94" spans="1:10" ht="12.75">
      <c r="A94" s="91"/>
      <c r="B94" s="125"/>
      <c r="C94" s="125"/>
      <c r="D94" s="125"/>
      <c r="E94" s="120"/>
      <c r="F94" s="120"/>
      <c r="G94" s="120"/>
      <c r="H94" s="120"/>
      <c r="I94" s="120"/>
      <c r="J94" s="120"/>
    </row>
    <row r="95" spans="1:10" ht="12.75">
      <c r="A95" s="91"/>
      <c r="B95" s="125"/>
      <c r="C95" s="125"/>
      <c r="D95" s="125"/>
      <c r="E95" s="120"/>
      <c r="F95" s="120"/>
      <c r="G95" s="120"/>
      <c r="H95" s="120"/>
      <c r="I95" s="120"/>
      <c r="J95" s="120"/>
    </row>
    <row r="96" spans="1:10" ht="12.75">
      <c r="A96" s="91"/>
      <c r="B96" s="125"/>
      <c r="C96" s="125"/>
      <c r="D96" s="125"/>
      <c r="E96" s="120"/>
      <c r="F96" s="120"/>
      <c r="G96" s="120"/>
      <c r="H96" s="120"/>
      <c r="I96" s="120"/>
      <c r="J96" s="120"/>
    </row>
    <row r="97" spans="1:10" ht="12.75">
      <c r="A97" s="91"/>
      <c r="B97" s="125"/>
      <c r="C97" s="125"/>
      <c r="D97" s="125"/>
      <c r="E97" s="120"/>
      <c r="F97" s="120"/>
      <c r="G97" s="120"/>
      <c r="H97" s="120"/>
      <c r="I97" s="120"/>
      <c r="J97" s="120"/>
    </row>
    <row r="98" spans="1:10" ht="12.75">
      <c r="A98" s="91"/>
      <c r="B98" s="125"/>
      <c r="C98" s="125"/>
      <c r="D98" s="125"/>
      <c r="E98" s="120"/>
      <c r="F98" s="120"/>
      <c r="G98" s="120"/>
      <c r="H98" s="120"/>
      <c r="I98" s="120"/>
      <c r="J98" s="120"/>
    </row>
    <row r="99" spans="1:10" ht="12.75">
      <c r="A99" s="91"/>
      <c r="B99" s="125"/>
      <c r="C99" s="125"/>
      <c r="D99" s="125"/>
      <c r="E99" s="120"/>
      <c r="F99" s="120"/>
      <c r="G99" s="120"/>
      <c r="H99" s="120"/>
      <c r="I99" s="120"/>
      <c r="J99" s="120"/>
    </row>
    <row r="100" spans="1:10" ht="12.75">
      <c r="A100" s="91"/>
      <c r="B100" s="125"/>
      <c r="C100" s="125"/>
      <c r="D100" s="125"/>
      <c r="E100" s="120"/>
      <c r="F100" s="120"/>
      <c r="G100" s="120"/>
      <c r="H100" s="120"/>
      <c r="I100" s="120"/>
      <c r="J100" s="120"/>
    </row>
    <row r="101" spans="1:10" ht="12.75">
      <c r="A101" s="91"/>
      <c r="B101" s="125"/>
      <c r="C101" s="125"/>
      <c r="D101" s="125"/>
      <c r="E101" s="120"/>
      <c r="F101" s="120"/>
      <c r="G101" s="120"/>
      <c r="H101" s="120"/>
      <c r="I101" s="120"/>
      <c r="J101" s="120"/>
    </row>
    <row r="102" spans="1:10" ht="12.75">
      <c r="A102" s="91"/>
      <c r="B102" s="125"/>
      <c r="C102" s="125"/>
      <c r="D102" s="125"/>
      <c r="E102" s="120"/>
      <c r="F102" s="120"/>
      <c r="G102" s="120"/>
      <c r="H102" s="120"/>
      <c r="I102" s="120"/>
      <c r="J102" s="120"/>
    </row>
    <row r="103" spans="1:10" ht="12.75">
      <c r="A103" s="91"/>
      <c r="B103" s="125"/>
      <c r="C103" s="125"/>
      <c r="D103" s="125"/>
      <c r="E103" s="120"/>
      <c r="F103" s="120"/>
      <c r="G103" s="120"/>
      <c r="H103" s="120"/>
      <c r="I103" s="120"/>
      <c r="J103" s="120"/>
    </row>
    <row r="104" spans="1:10" ht="12.75">
      <c r="A104" s="91"/>
      <c r="B104" s="125"/>
      <c r="C104" s="125"/>
      <c r="D104" s="125"/>
      <c r="E104" s="120"/>
      <c r="F104" s="120"/>
      <c r="G104" s="120"/>
      <c r="H104" s="120"/>
      <c r="I104" s="120"/>
      <c r="J104" s="120"/>
    </row>
    <row r="105" spans="1:10" ht="12.75">
      <c r="A105" s="91"/>
      <c r="B105" s="125"/>
      <c r="C105" s="125"/>
      <c r="D105" s="125"/>
      <c r="E105" s="120"/>
      <c r="F105" s="120"/>
      <c r="G105" s="120"/>
      <c r="H105" s="120"/>
      <c r="I105" s="120"/>
      <c r="J105" s="120"/>
    </row>
    <row r="106" spans="1:10" ht="12.75">
      <c r="A106" s="91"/>
      <c r="B106" s="125"/>
      <c r="C106" s="125"/>
      <c r="D106" s="125"/>
      <c r="E106" s="120"/>
      <c r="F106" s="120"/>
      <c r="G106" s="120"/>
      <c r="H106" s="120"/>
      <c r="I106" s="120"/>
      <c r="J106" s="120"/>
    </row>
    <row r="107" spans="1:10" ht="12.75">
      <c r="A107" s="91"/>
      <c r="B107" s="125"/>
      <c r="C107" s="125"/>
      <c r="D107" s="125"/>
      <c r="E107" s="120"/>
      <c r="F107" s="120"/>
      <c r="G107" s="120"/>
      <c r="H107" s="120"/>
      <c r="I107" s="120"/>
      <c r="J107" s="120"/>
    </row>
    <row r="108" spans="1:10" ht="12.75">
      <c r="A108" s="91"/>
      <c r="B108" s="125"/>
      <c r="C108" s="125"/>
      <c r="D108" s="125"/>
      <c r="E108" s="120"/>
      <c r="F108" s="120"/>
      <c r="G108" s="120"/>
      <c r="H108" s="120"/>
      <c r="I108" s="120"/>
      <c r="J108" s="120"/>
    </row>
    <row r="109" spans="1:10" ht="12.75">
      <c r="A109" s="91"/>
      <c r="B109" s="125"/>
      <c r="C109" s="125"/>
      <c r="D109" s="125"/>
      <c r="E109" s="120"/>
      <c r="F109" s="120"/>
      <c r="G109" s="120"/>
      <c r="H109" s="120"/>
      <c r="I109" s="120"/>
      <c r="J109" s="120"/>
    </row>
    <row r="110" spans="1:10" ht="12.75">
      <c r="A110" s="168"/>
      <c r="B110" s="125"/>
      <c r="C110" s="125"/>
      <c r="D110" s="125"/>
      <c r="E110" s="120"/>
      <c r="F110" s="120"/>
      <c r="G110" s="120"/>
      <c r="H110" s="120"/>
      <c r="I110" s="120"/>
      <c r="J110" s="120"/>
    </row>
    <row r="111" spans="1:10" ht="12.75">
      <c r="A111" s="168"/>
      <c r="B111" s="125"/>
      <c r="C111" s="125"/>
      <c r="D111" s="125"/>
      <c r="E111" s="120"/>
      <c r="F111" s="120"/>
      <c r="G111" s="120"/>
      <c r="H111" s="120"/>
      <c r="I111" s="120"/>
      <c r="J111" s="120"/>
    </row>
    <row r="112" spans="1:10" ht="12.75">
      <c r="A112" s="223" t="s">
        <v>393</v>
      </c>
      <c r="B112" s="223"/>
      <c r="C112" s="389"/>
      <c r="D112" s="389"/>
      <c r="E112" s="389"/>
      <c r="F112" s="113"/>
      <c r="G112" s="113"/>
      <c r="H112" s="120"/>
      <c r="I112" s="11"/>
      <c r="J112" s="11"/>
    </row>
    <row r="113" spans="1:10" ht="12.75">
      <c r="A113" s="148" t="s">
        <v>407</v>
      </c>
      <c r="B113" s="148"/>
      <c r="C113" s="148"/>
      <c r="D113" s="149"/>
      <c r="E113" s="149"/>
      <c r="F113" s="149"/>
      <c r="G113" s="149"/>
      <c r="I113" s="149" t="s">
        <v>220</v>
      </c>
      <c r="J113" s="149"/>
    </row>
    <row r="114" spans="1:10" ht="33.75">
      <c r="A114" s="435" t="s">
        <v>399</v>
      </c>
      <c r="B114" s="435" t="s">
        <v>400</v>
      </c>
      <c r="C114" s="167" t="s">
        <v>394</v>
      </c>
      <c r="D114" s="167" t="s">
        <v>401</v>
      </c>
      <c r="E114" s="167" t="s">
        <v>402</v>
      </c>
      <c r="F114" s="167" t="s">
        <v>403</v>
      </c>
      <c r="G114" s="167"/>
      <c r="H114" s="438" t="s">
        <v>397</v>
      </c>
      <c r="I114" s="439" t="s">
        <v>404</v>
      </c>
      <c r="J114" s="636"/>
    </row>
    <row r="115" spans="1:11" ht="12.75">
      <c r="A115" s="428">
        <v>7330</v>
      </c>
      <c r="B115" s="427" t="s">
        <v>396</v>
      </c>
      <c r="C115" s="425"/>
      <c r="D115" s="440">
        <f>E115+F115+H115+I115</f>
        <v>13978350</v>
      </c>
      <c r="E115" s="426">
        <v>13978350</v>
      </c>
      <c r="F115" s="426"/>
      <c r="G115" s="426"/>
      <c r="H115" s="437"/>
      <c r="I115" s="437"/>
      <c r="J115" s="480"/>
      <c r="K115" s="132"/>
    </row>
    <row r="116" spans="1:11" ht="12.75">
      <c r="A116" s="428">
        <v>7400</v>
      </c>
      <c r="B116" s="427" t="s">
        <v>397</v>
      </c>
      <c r="C116" s="425"/>
      <c r="D116" s="440">
        <f aca="true" t="shared" si="5" ref="D116:D141">E116+F116+H116+I116</f>
        <v>2000000</v>
      </c>
      <c r="E116" s="426"/>
      <c r="F116" s="426"/>
      <c r="G116" s="426"/>
      <c r="H116" s="441">
        <v>2000000</v>
      </c>
      <c r="I116" s="437"/>
      <c r="J116" s="480"/>
      <c r="K116" s="132"/>
    </row>
    <row r="117" spans="1:11" ht="12.75">
      <c r="A117" s="428">
        <v>7410</v>
      </c>
      <c r="B117" s="427" t="s">
        <v>405</v>
      </c>
      <c r="C117" s="425"/>
      <c r="D117" s="440">
        <f t="shared" si="5"/>
        <v>700000</v>
      </c>
      <c r="E117" s="426"/>
      <c r="F117" s="426"/>
      <c r="G117" s="426"/>
      <c r="H117" s="441"/>
      <c r="I117" s="442">
        <v>700000</v>
      </c>
      <c r="J117" s="637"/>
      <c r="K117" s="132"/>
    </row>
    <row r="118" spans="1:11" ht="12.75">
      <c r="A118" s="158">
        <v>74212101</v>
      </c>
      <c r="B118" s="158" t="s">
        <v>140</v>
      </c>
      <c r="C118" s="159">
        <v>1760000</v>
      </c>
      <c r="D118" s="443">
        <f t="shared" si="5"/>
        <v>1760000</v>
      </c>
      <c r="E118" s="101"/>
      <c r="F118" s="101"/>
      <c r="G118" s="101"/>
      <c r="H118" s="437"/>
      <c r="I118" s="159">
        <v>1760000</v>
      </c>
      <c r="J118" s="122"/>
      <c r="K118" s="132"/>
    </row>
    <row r="119" spans="1:11" ht="12.75">
      <c r="A119" s="99">
        <v>74212102</v>
      </c>
      <c r="B119" s="99" t="s">
        <v>142</v>
      </c>
      <c r="C119" s="101">
        <v>14400000</v>
      </c>
      <c r="D119" s="443">
        <f t="shared" si="5"/>
        <v>14400000</v>
      </c>
      <c r="E119" s="101"/>
      <c r="F119" s="101"/>
      <c r="G119" s="101"/>
      <c r="H119" s="437"/>
      <c r="I119" s="101">
        <v>14400000</v>
      </c>
      <c r="J119" s="122"/>
      <c r="K119" s="132"/>
    </row>
    <row r="120" spans="1:11" ht="12.75">
      <c r="A120" s="99">
        <v>74212111</v>
      </c>
      <c r="B120" s="99" t="s">
        <v>141</v>
      </c>
      <c r="C120" s="101">
        <v>500000</v>
      </c>
      <c r="D120" s="443">
        <f t="shared" si="5"/>
        <v>500000</v>
      </c>
      <c r="E120" s="101"/>
      <c r="F120" s="101"/>
      <c r="G120" s="101"/>
      <c r="H120" s="437"/>
      <c r="I120" s="101">
        <v>500000</v>
      </c>
      <c r="J120" s="122"/>
      <c r="K120" s="132"/>
    </row>
    <row r="121" spans="1:11" ht="12.75">
      <c r="A121" s="99">
        <v>74212112</v>
      </c>
      <c r="B121" s="99" t="s">
        <v>143</v>
      </c>
      <c r="C121" s="101">
        <v>500000</v>
      </c>
      <c r="D121" s="443">
        <f t="shared" si="5"/>
        <v>500000</v>
      </c>
      <c r="E121" s="101"/>
      <c r="F121" s="101"/>
      <c r="G121" s="101"/>
      <c r="H121" s="437"/>
      <c r="I121" s="101">
        <v>500000</v>
      </c>
      <c r="J121" s="122"/>
      <c r="K121" s="132"/>
    </row>
    <row r="122" spans="1:11" ht="12.75">
      <c r="A122" s="99">
        <v>7421216</v>
      </c>
      <c r="B122" s="99" t="s">
        <v>145</v>
      </c>
      <c r="C122" s="101">
        <v>320000</v>
      </c>
      <c r="D122" s="443">
        <f t="shared" si="5"/>
        <v>320000</v>
      </c>
      <c r="E122" s="101"/>
      <c r="F122" s="101"/>
      <c r="G122" s="101"/>
      <c r="H122" s="437"/>
      <c r="I122" s="101">
        <v>320000</v>
      </c>
      <c r="J122" s="122"/>
      <c r="K122" s="132"/>
    </row>
    <row r="123" spans="1:11" ht="12.75">
      <c r="A123" s="99">
        <v>7421217</v>
      </c>
      <c r="B123" s="99" t="s">
        <v>146</v>
      </c>
      <c r="C123" s="101">
        <v>34732000</v>
      </c>
      <c r="D123" s="443">
        <f t="shared" si="5"/>
        <v>34732000</v>
      </c>
      <c r="E123" s="101"/>
      <c r="F123" s="101"/>
      <c r="G123" s="101"/>
      <c r="H123" s="437"/>
      <c r="I123" s="101">
        <v>34732000</v>
      </c>
      <c r="J123" s="122"/>
      <c r="K123" s="132"/>
    </row>
    <row r="124" spans="1:11" ht="12.75">
      <c r="A124" s="99">
        <v>74212171</v>
      </c>
      <c r="B124" s="99" t="s">
        <v>147</v>
      </c>
      <c r="C124" s="135">
        <v>9240000</v>
      </c>
      <c r="D124" s="443">
        <f t="shared" si="5"/>
        <v>9240000</v>
      </c>
      <c r="E124" s="101"/>
      <c r="F124" s="101"/>
      <c r="G124" s="101"/>
      <c r="H124" s="437"/>
      <c r="I124" s="135">
        <v>9240000</v>
      </c>
      <c r="J124" s="136"/>
      <c r="K124" s="132"/>
    </row>
    <row r="125" spans="1:11" ht="12.75">
      <c r="A125" s="99">
        <v>742161</v>
      </c>
      <c r="B125" s="99" t="s">
        <v>148</v>
      </c>
      <c r="C125" s="101">
        <v>320000</v>
      </c>
      <c r="D125" s="443">
        <f t="shared" si="5"/>
        <v>320000</v>
      </c>
      <c r="E125" s="101"/>
      <c r="F125" s="101"/>
      <c r="G125" s="101"/>
      <c r="H125" s="437"/>
      <c r="I125" s="101">
        <v>320000</v>
      </c>
      <c r="J125" s="122"/>
      <c r="K125" s="132"/>
    </row>
    <row r="126" spans="1:11" ht="12.75">
      <c r="A126" s="137">
        <v>7421</v>
      </c>
      <c r="B126" s="137" t="s">
        <v>149</v>
      </c>
      <c r="C126" s="431">
        <v>61772000</v>
      </c>
      <c r="D126" s="440">
        <f t="shared" si="5"/>
        <v>61772000</v>
      </c>
      <c r="E126" s="101"/>
      <c r="F126" s="106"/>
      <c r="G126" s="106"/>
      <c r="H126" s="437"/>
      <c r="I126" s="441">
        <f>SUM(I118:I125)</f>
        <v>61772000</v>
      </c>
      <c r="J126" s="637"/>
      <c r="K126" s="132"/>
    </row>
    <row r="127" spans="1:11" ht="12.75">
      <c r="A127" s="137">
        <v>7451</v>
      </c>
      <c r="B127" s="137" t="s">
        <v>151</v>
      </c>
      <c r="C127" s="101"/>
      <c r="D127" s="440">
        <f t="shared" si="5"/>
        <v>1200000</v>
      </c>
      <c r="E127" s="101"/>
      <c r="F127" s="106"/>
      <c r="G127" s="106"/>
      <c r="H127" s="437"/>
      <c r="I127" s="441">
        <v>1200000</v>
      </c>
      <c r="J127" s="637"/>
      <c r="K127" s="132"/>
    </row>
    <row r="128" spans="1:11" ht="12.75">
      <c r="A128" s="99">
        <v>7711111</v>
      </c>
      <c r="B128" s="99" t="s">
        <v>152</v>
      </c>
      <c r="C128" s="101"/>
      <c r="D128" s="443">
        <f t="shared" si="5"/>
        <v>6320000</v>
      </c>
      <c r="E128" s="101">
        <v>6320000</v>
      </c>
      <c r="F128" s="106"/>
      <c r="G128" s="106"/>
      <c r="H128" s="437"/>
      <c r="I128" s="437"/>
      <c r="J128" s="480"/>
      <c r="K128" s="132"/>
    </row>
    <row r="129" spans="1:11" ht="12.75">
      <c r="A129" s="99">
        <v>7711112</v>
      </c>
      <c r="B129" s="99" t="s">
        <v>153</v>
      </c>
      <c r="C129" s="101"/>
      <c r="D129" s="443">
        <f t="shared" si="5"/>
        <v>930000</v>
      </c>
      <c r="E129" s="424"/>
      <c r="F129" s="424">
        <v>930000</v>
      </c>
      <c r="G129" s="424"/>
      <c r="H129" s="437"/>
      <c r="I129" s="437"/>
      <c r="J129" s="480"/>
      <c r="K129" s="132"/>
    </row>
    <row r="130" spans="1:11" ht="12.75">
      <c r="A130" s="137">
        <v>7711</v>
      </c>
      <c r="B130" s="137" t="s">
        <v>154</v>
      </c>
      <c r="C130" s="106">
        <v>6000000</v>
      </c>
      <c r="D130" s="440">
        <f>SUM(D128:D129)</f>
        <v>7250000</v>
      </c>
      <c r="E130" s="440">
        <f>SUM(E128:E129)</f>
        <v>6320000</v>
      </c>
      <c r="F130" s="440">
        <f>SUM(F128:F129)</f>
        <v>930000</v>
      </c>
      <c r="G130" s="440"/>
      <c r="H130" s="440">
        <f>SUM(H128:H129)</f>
        <v>0</v>
      </c>
      <c r="I130" s="440">
        <f>SUM(I128:I129)</f>
        <v>0</v>
      </c>
      <c r="J130" s="638"/>
      <c r="K130" s="132"/>
    </row>
    <row r="131" spans="1:11" ht="12.75">
      <c r="A131" s="137">
        <v>7810</v>
      </c>
      <c r="B131" s="430" t="s">
        <v>371</v>
      </c>
      <c r="C131" s="106">
        <f>8268000+264000</f>
        <v>8532000</v>
      </c>
      <c r="D131" s="440">
        <f t="shared" si="5"/>
        <v>8092000</v>
      </c>
      <c r="E131" s="101"/>
      <c r="F131" s="106"/>
      <c r="G131" s="106"/>
      <c r="H131" s="437"/>
      <c r="I131" s="441">
        <v>8092000</v>
      </c>
      <c r="J131" s="637"/>
      <c r="K131" s="132"/>
    </row>
    <row r="132" spans="1:11" ht="12.75">
      <c r="A132" s="143">
        <v>7811110101</v>
      </c>
      <c r="B132" s="99" t="s">
        <v>155</v>
      </c>
      <c r="C132" s="100">
        <v>374372000</v>
      </c>
      <c r="D132" s="443">
        <f t="shared" si="5"/>
        <v>392673000</v>
      </c>
      <c r="E132" s="101"/>
      <c r="F132" s="424">
        <v>392673000</v>
      </c>
      <c r="G132" s="424"/>
      <c r="H132" s="437"/>
      <c r="I132" s="437"/>
      <c r="J132" s="480"/>
      <c r="K132" s="132"/>
    </row>
    <row r="133" spans="1:11" ht="12.75">
      <c r="A133" s="143">
        <v>7811110102</v>
      </c>
      <c r="B133" s="99" t="s">
        <v>156</v>
      </c>
      <c r="C133" s="100">
        <v>8050000</v>
      </c>
      <c r="D133" s="443">
        <f t="shared" si="5"/>
        <v>6545000</v>
      </c>
      <c r="E133" s="101"/>
      <c r="F133" s="424">
        <v>6545000</v>
      </c>
      <c r="G133" s="424"/>
      <c r="H133" s="437"/>
      <c r="I133" s="437"/>
      <c r="J133" s="480"/>
      <c r="K133" s="132"/>
    </row>
    <row r="134" spans="1:11" ht="12.75">
      <c r="A134" s="143">
        <v>7811110103</v>
      </c>
      <c r="B134" s="99" t="s">
        <v>157</v>
      </c>
      <c r="C134" s="100">
        <v>28050000</v>
      </c>
      <c r="D134" s="443">
        <f t="shared" si="5"/>
        <v>29615000</v>
      </c>
      <c r="E134" s="101"/>
      <c r="F134" s="424">
        <v>29615000</v>
      </c>
      <c r="G134" s="424"/>
      <c r="H134" s="437"/>
      <c r="I134" s="437"/>
      <c r="J134" s="480"/>
      <c r="K134" s="132"/>
    </row>
    <row r="135" spans="1:11" ht="12.75">
      <c r="A135" s="143">
        <v>7811110104</v>
      </c>
      <c r="B135" s="99" t="s">
        <v>158</v>
      </c>
      <c r="C135" s="100">
        <v>17554000</v>
      </c>
      <c r="D135" s="443">
        <f t="shared" si="5"/>
        <v>19399000</v>
      </c>
      <c r="E135" s="101"/>
      <c r="F135" s="424">
        <f>27228000-7829000</f>
        <v>19399000</v>
      </c>
      <c r="G135" s="424"/>
      <c r="H135" s="437"/>
      <c r="I135" s="437"/>
      <c r="J135" s="480"/>
      <c r="K135" s="132"/>
    </row>
    <row r="136" spans="1:11" ht="12.75">
      <c r="A136" s="143">
        <v>7811110105</v>
      </c>
      <c r="B136" s="99" t="s">
        <v>159</v>
      </c>
      <c r="C136" s="100">
        <v>11930000</v>
      </c>
      <c r="D136" s="443">
        <f t="shared" si="5"/>
        <v>11028000</v>
      </c>
      <c r="E136" s="101"/>
      <c r="F136" s="424">
        <v>11028000</v>
      </c>
      <c r="G136" s="424"/>
      <c r="H136" s="437"/>
      <c r="I136" s="437"/>
      <c r="J136" s="480"/>
      <c r="K136" s="132"/>
    </row>
    <row r="137" spans="1:11" ht="12.75">
      <c r="A137" s="143">
        <v>7811110106</v>
      </c>
      <c r="B137" s="99" t="s">
        <v>160</v>
      </c>
      <c r="C137" s="100">
        <v>10712000</v>
      </c>
      <c r="D137" s="443">
        <f t="shared" si="5"/>
        <v>10051000</v>
      </c>
      <c r="E137" s="101"/>
      <c r="F137" s="424">
        <v>10051000</v>
      </c>
      <c r="G137" s="424"/>
      <c r="H137" s="437"/>
      <c r="I137" s="437"/>
      <c r="J137" s="480"/>
      <c r="K137" s="132"/>
    </row>
    <row r="138" spans="1:11" ht="12.75">
      <c r="A138" s="143">
        <v>781111013</v>
      </c>
      <c r="B138" s="99" t="s">
        <v>161</v>
      </c>
      <c r="C138" s="100">
        <v>57800000</v>
      </c>
      <c r="D138" s="443">
        <f t="shared" si="5"/>
        <v>47702000</v>
      </c>
      <c r="E138" s="101"/>
      <c r="F138" s="424">
        <v>47702000</v>
      </c>
      <c r="G138" s="424"/>
      <c r="H138" s="437"/>
      <c r="I138" s="437"/>
      <c r="J138" s="480"/>
      <c r="K138" s="132"/>
    </row>
    <row r="139" spans="1:11" ht="12.75">
      <c r="A139" s="143"/>
      <c r="B139" s="434" t="s">
        <v>406</v>
      </c>
      <c r="C139" s="429">
        <f>SUM(C132:C138)+C131</f>
        <v>517000000</v>
      </c>
      <c r="D139" s="446">
        <f t="shared" si="5"/>
        <v>517013000</v>
      </c>
      <c r="E139" s="101"/>
      <c r="F139" s="431">
        <f>SUM(F132:F138)</f>
        <v>517013000</v>
      </c>
      <c r="G139" s="431"/>
      <c r="H139" s="437"/>
      <c r="I139" s="437"/>
      <c r="J139" s="480"/>
      <c r="K139" s="132"/>
    </row>
    <row r="140" spans="1:11" ht="12.75">
      <c r="A140" s="444">
        <v>7810</v>
      </c>
      <c r="B140" s="430" t="s">
        <v>398</v>
      </c>
      <c r="C140" s="135"/>
      <c r="D140" s="440">
        <f t="shared" si="5"/>
        <v>8608000</v>
      </c>
      <c r="E140" s="101"/>
      <c r="F140" s="106">
        <v>8608000</v>
      </c>
      <c r="G140" s="106"/>
      <c r="H140" s="437"/>
      <c r="I140" s="437"/>
      <c r="J140" s="480"/>
      <c r="K140" s="132"/>
    </row>
    <row r="141" spans="1:11" ht="12.75">
      <c r="A141" s="445">
        <v>8120</v>
      </c>
      <c r="B141" s="430" t="s">
        <v>429</v>
      </c>
      <c r="C141" s="135"/>
      <c r="D141" s="440">
        <f t="shared" si="5"/>
        <v>30000</v>
      </c>
      <c r="E141" s="101"/>
      <c r="F141" s="106"/>
      <c r="G141" s="106"/>
      <c r="H141" s="437"/>
      <c r="I141" s="441">
        <v>30000</v>
      </c>
      <c r="J141" s="637"/>
      <c r="K141" s="132"/>
    </row>
    <row r="142" spans="1:11" ht="12.75">
      <c r="A142" s="145"/>
      <c r="B142" s="137" t="s">
        <v>351</v>
      </c>
      <c r="C142" s="138">
        <v>584772000</v>
      </c>
      <c r="D142" s="440">
        <f>D140+D139+D130+D127+D126+D117+D116+D115+D131+D141</f>
        <v>620643350</v>
      </c>
      <c r="E142" s="440">
        <f>E140+E139+E130+E127+E126+E117+E116+E115+E131+E141</f>
        <v>20298350</v>
      </c>
      <c r="F142" s="440">
        <f>F140+F139+F130+F127+F126+F117+F116+F115+F131+F141</f>
        <v>526551000</v>
      </c>
      <c r="G142" s="440"/>
      <c r="H142" s="440">
        <f>H140+H139+H130+H127+H126+H117+H116+H115+H131+H141</f>
        <v>2000000</v>
      </c>
      <c r="I142" s="440">
        <f>I140+I139+I130+I127+I126+I117+I116+I115+I131+I141</f>
        <v>71794000</v>
      </c>
      <c r="J142" s="638"/>
      <c r="K142" s="132"/>
    </row>
    <row r="143" spans="1:11" ht="22.5">
      <c r="A143" s="145"/>
      <c r="B143" s="447" t="s">
        <v>428</v>
      </c>
      <c r="C143" s="424">
        <v>26426400</v>
      </c>
      <c r="D143" s="443">
        <f>E143+F143+H143+I143</f>
        <v>14350000</v>
      </c>
      <c r="E143" s="424"/>
      <c r="F143" s="424"/>
      <c r="G143" s="424"/>
      <c r="H143" s="437"/>
      <c r="I143" s="437">
        <v>14350000</v>
      </c>
      <c r="J143" s="480"/>
      <c r="K143" s="132"/>
    </row>
    <row r="144" spans="1:11" ht="22.5">
      <c r="A144" s="145"/>
      <c r="B144" s="450" t="s">
        <v>408</v>
      </c>
      <c r="C144" s="429">
        <f aca="true" t="shared" si="6" ref="C144:I144">SUM(C142:C143)</f>
        <v>611198400</v>
      </c>
      <c r="D144" s="446">
        <f t="shared" si="6"/>
        <v>634993350</v>
      </c>
      <c r="E144" s="446">
        <f t="shared" si="6"/>
        <v>20298350</v>
      </c>
      <c r="F144" s="446">
        <f t="shared" si="6"/>
        <v>526551000</v>
      </c>
      <c r="G144" s="446"/>
      <c r="H144" s="446">
        <f t="shared" si="6"/>
        <v>2000000</v>
      </c>
      <c r="I144" s="446">
        <f t="shared" si="6"/>
        <v>86144000</v>
      </c>
      <c r="J144" s="639"/>
      <c r="K144" s="132"/>
    </row>
    <row r="145" spans="1:11" ht="12.75">
      <c r="A145" s="145"/>
      <c r="B145" s="147"/>
      <c r="C145" s="195"/>
      <c r="D145" s="146"/>
      <c r="E145" s="146"/>
      <c r="F145" s="146"/>
      <c r="G145" s="146"/>
      <c r="K145" s="132"/>
    </row>
    <row r="146" spans="1:11" ht="12.75">
      <c r="A146" s="145"/>
      <c r="B146" s="147"/>
      <c r="C146" s="195"/>
      <c r="D146" s="146"/>
      <c r="E146" s="146"/>
      <c r="F146" s="146"/>
      <c r="G146" s="146"/>
      <c r="K146" s="132"/>
    </row>
    <row r="147" spans="1:11" ht="12.75">
      <c r="A147" s="145"/>
      <c r="B147" s="147"/>
      <c r="C147" s="195"/>
      <c r="D147" s="146"/>
      <c r="E147" s="146"/>
      <c r="F147" s="146"/>
      <c r="G147" s="146"/>
      <c r="K147" s="132"/>
    </row>
    <row r="148" spans="1:11" ht="12.75">
      <c r="A148" s="18"/>
      <c r="B148" s="15" t="s">
        <v>395</v>
      </c>
      <c r="C148" s="15"/>
      <c r="D148" s="15"/>
      <c r="E148" s="15"/>
      <c r="F148" s="91" t="s">
        <v>221</v>
      </c>
      <c r="G148" s="91"/>
      <c r="H148" s="433" t="s">
        <v>438</v>
      </c>
      <c r="K148" s="132"/>
    </row>
    <row r="149" spans="1:11" ht="33.75">
      <c r="A149" s="435" t="s">
        <v>399</v>
      </c>
      <c r="B149" s="435" t="s">
        <v>400</v>
      </c>
      <c r="C149" s="167" t="s">
        <v>394</v>
      </c>
      <c r="D149" s="167" t="s">
        <v>401</v>
      </c>
      <c r="E149" s="167" t="s">
        <v>402</v>
      </c>
      <c r="F149" s="167" t="s">
        <v>403</v>
      </c>
      <c r="G149" s="167"/>
      <c r="H149" s="438" t="s">
        <v>397</v>
      </c>
      <c r="I149" s="439" t="s">
        <v>404</v>
      </c>
      <c r="J149" s="636"/>
      <c r="K149" s="132"/>
    </row>
    <row r="150" spans="1:11" ht="12.75">
      <c r="A150" s="118">
        <v>4111</v>
      </c>
      <c r="B150" s="116" t="s">
        <v>92</v>
      </c>
      <c r="C150" s="90"/>
      <c r="D150" s="116">
        <f>E150+F150+H150+I150</f>
        <v>385529000</v>
      </c>
      <c r="E150" s="233"/>
      <c r="F150" s="437">
        <v>371529000</v>
      </c>
      <c r="G150" s="437"/>
      <c r="H150" s="437"/>
      <c r="I150" s="437">
        <v>14000000</v>
      </c>
      <c r="J150" s="480"/>
      <c r="K150" s="132"/>
    </row>
    <row r="151" spans="1:11" ht="12.75">
      <c r="A151" s="118">
        <v>4120</v>
      </c>
      <c r="B151" s="116" t="s">
        <v>409</v>
      </c>
      <c r="C151" s="90"/>
      <c r="D151" s="116">
        <f aca="true" t="shared" si="7" ref="D151:D156">E151+F151+H151+I151</f>
        <v>70804000</v>
      </c>
      <c r="E151" s="233"/>
      <c r="F151" s="437">
        <v>66504000</v>
      </c>
      <c r="G151" s="437"/>
      <c r="H151" s="437"/>
      <c r="I151" s="437">
        <v>4300000</v>
      </c>
      <c r="J151" s="480"/>
      <c r="K151" s="132"/>
    </row>
    <row r="152" spans="1:11" ht="12.75">
      <c r="A152" s="118"/>
      <c r="B152" s="90" t="s">
        <v>255</v>
      </c>
      <c r="C152" s="90">
        <v>447440000</v>
      </c>
      <c r="D152" s="441">
        <f>SUM(D150:D151)</f>
        <v>456333000</v>
      </c>
      <c r="E152" s="441">
        <f>SUM(E150:E151)</f>
        <v>0</v>
      </c>
      <c r="F152" s="441">
        <f>SUM(F150:F151)</f>
        <v>438033000</v>
      </c>
      <c r="G152" s="441"/>
      <c r="H152" s="441"/>
      <c r="I152" s="441">
        <f>SUM(I150:I151)</f>
        <v>18300000</v>
      </c>
      <c r="J152" s="637"/>
      <c r="K152" s="132"/>
    </row>
    <row r="153" spans="1:11" ht="12.75">
      <c r="A153" s="118">
        <v>4130</v>
      </c>
      <c r="B153" s="441" t="s">
        <v>427</v>
      </c>
      <c r="C153" s="441"/>
      <c r="D153" s="441">
        <f t="shared" si="7"/>
        <v>180000</v>
      </c>
      <c r="E153" s="449"/>
      <c r="F153" s="441"/>
      <c r="G153" s="441"/>
      <c r="H153" s="441"/>
      <c r="I153" s="441">
        <v>180000</v>
      </c>
      <c r="J153" s="637"/>
      <c r="K153" s="132"/>
    </row>
    <row r="154" spans="1:11" ht="12.75">
      <c r="A154" s="118">
        <v>4140</v>
      </c>
      <c r="B154" s="90" t="s">
        <v>411</v>
      </c>
      <c r="C154" s="90">
        <v>8740000</v>
      </c>
      <c r="D154" s="441">
        <f t="shared" si="7"/>
        <v>7450000</v>
      </c>
      <c r="E154" s="228">
        <v>6320000</v>
      </c>
      <c r="F154" s="90">
        <v>930000</v>
      </c>
      <c r="G154" s="90"/>
      <c r="H154" s="437"/>
      <c r="I154" s="437">
        <v>200000</v>
      </c>
      <c r="J154" s="480"/>
      <c r="K154" s="132"/>
    </row>
    <row r="155" spans="1:11" ht="22.5">
      <c r="A155" s="118">
        <v>4150</v>
      </c>
      <c r="B155" s="426" t="s">
        <v>410</v>
      </c>
      <c r="C155" s="90">
        <v>8760000</v>
      </c>
      <c r="D155" s="441">
        <f t="shared" si="7"/>
        <v>7109000</v>
      </c>
      <c r="E155" s="228"/>
      <c r="F155" s="90">
        <v>6609000</v>
      </c>
      <c r="G155" s="90"/>
      <c r="H155" s="437"/>
      <c r="I155" s="437">
        <v>500000</v>
      </c>
      <c r="J155" s="480"/>
      <c r="K155" s="132"/>
    </row>
    <row r="156" spans="1:11" ht="22.5">
      <c r="A156" s="118">
        <v>4160</v>
      </c>
      <c r="B156" s="426" t="s">
        <v>412</v>
      </c>
      <c r="C156" s="90"/>
      <c r="D156" s="441">
        <f t="shared" si="7"/>
        <v>9328000</v>
      </c>
      <c r="E156" s="228"/>
      <c r="F156" s="90">
        <v>8608000</v>
      </c>
      <c r="G156" s="90"/>
      <c r="H156" s="437"/>
      <c r="I156" s="437">
        <v>720000</v>
      </c>
      <c r="J156" s="480"/>
      <c r="K156" s="132"/>
    </row>
    <row r="157" spans="1:11" ht="12.75">
      <c r="A157" s="118">
        <v>4210</v>
      </c>
      <c r="B157" s="426" t="s">
        <v>413</v>
      </c>
      <c r="C157" s="90">
        <f>C158+C160+C161+C162+C159</f>
        <v>22280000</v>
      </c>
      <c r="D157" s="90">
        <f>E157+F157+H157+I157</f>
        <v>20300000</v>
      </c>
      <c r="E157" s="228"/>
      <c r="F157" s="90">
        <v>16000000</v>
      </c>
      <c r="G157" s="90"/>
      <c r="H157" s="437"/>
      <c r="I157" s="441">
        <v>4300000</v>
      </c>
      <c r="J157" s="637"/>
      <c r="K157" s="132"/>
    </row>
    <row r="158" spans="1:11" ht="12.75">
      <c r="A158" s="436">
        <v>4211</v>
      </c>
      <c r="B158" s="116" t="s">
        <v>101</v>
      </c>
      <c r="C158" s="116">
        <v>1560000</v>
      </c>
      <c r="D158" s="437">
        <f>F158+H158+I158</f>
        <v>1600000</v>
      </c>
      <c r="E158" s="233"/>
      <c r="F158" s="116">
        <v>1200000</v>
      </c>
      <c r="G158" s="116"/>
      <c r="H158" s="437"/>
      <c r="I158" s="437">
        <v>400000</v>
      </c>
      <c r="J158" s="480"/>
      <c r="K158" s="132"/>
    </row>
    <row r="159" spans="1:11" ht="12.75">
      <c r="A159" s="436">
        <v>4212</v>
      </c>
      <c r="B159" s="116" t="s">
        <v>102</v>
      </c>
      <c r="C159" s="116">
        <v>13000000</v>
      </c>
      <c r="D159" s="437">
        <f>F159+H159+I159</f>
        <v>11000000</v>
      </c>
      <c r="E159" s="233"/>
      <c r="F159" s="116">
        <v>10000000</v>
      </c>
      <c r="G159" s="116"/>
      <c r="H159" s="437"/>
      <c r="I159" s="437">
        <v>1000000</v>
      </c>
      <c r="J159" s="480"/>
      <c r="K159" s="132"/>
    </row>
    <row r="160" spans="1:11" ht="12.75">
      <c r="A160" s="436">
        <v>4213</v>
      </c>
      <c r="B160" s="116" t="s">
        <v>103</v>
      </c>
      <c r="C160" s="116">
        <v>3220000</v>
      </c>
      <c r="D160" s="437">
        <f>F160+H160+I160</f>
        <v>3700000</v>
      </c>
      <c r="E160" s="233"/>
      <c r="F160" s="116">
        <v>2000000</v>
      </c>
      <c r="G160" s="116"/>
      <c r="H160" s="437"/>
      <c r="I160" s="437">
        <v>1700000</v>
      </c>
      <c r="J160" s="480"/>
      <c r="K160" s="132"/>
    </row>
    <row r="161" spans="1:11" ht="12.75">
      <c r="A161" s="436">
        <v>4214</v>
      </c>
      <c r="B161" s="116" t="s">
        <v>104</v>
      </c>
      <c r="C161" s="116">
        <v>1300000</v>
      </c>
      <c r="D161" s="437">
        <f>F161+H161+I161</f>
        <v>1400000</v>
      </c>
      <c r="E161" s="233"/>
      <c r="F161" s="116">
        <v>800000</v>
      </c>
      <c r="G161" s="116"/>
      <c r="H161" s="437"/>
      <c r="I161" s="437">
        <v>600000</v>
      </c>
      <c r="J161" s="480"/>
      <c r="K161" s="132"/>
    </row>
    <row r="162" spans="1:11" ht="12.75">
      <c r="A162" s="434">
        <v>4215</v>
      </c>
      <c r="B162" s="135" t="s">
        <v>169</v>
      </c>
      <c r="C162" s="135">
        <v>3200000</v>
      </c>
      <c r="D162" s="437">
        <f>F162+H162+I162</f>
        <v>2600000</v>
      </c>
      <c r="E162" s="233"/>
      <c r="F162" s="116">
        <v>2000000</v>
      </c>
      <c r="G162" s="116"/>
      <c r="H162" s="437"/>
      <c r="I162" s="424">
        <v>600000</v>
      </c>
      <c r="J162" s="599"/>
      <c r="K162" s="132"/>
    </row>
    <row r="163" spans="1:11" ht="12.75">
      <c r="A163" s="107">
        <v>4220</v>
      </c>
      <c r="B163" s="431" t="s">
        <v>414</v>
      </c>
      <c r="C163" s="431">
        <v>620000</v>
      </c>
      <c r="D163" s="90">
        <f aca="true" t="shared" si="8" ref="D163:D193">E163+F163+H163+I163</f>
        <v>300000</v>
      </c>
      <c r="E163" s="448"/>
      <c r="F163" s="431"/>
      <c r="G163" s="431"/>
      <c r="H163" s="431"/>
      <c r="I163" s="431">
        <v>300000</v>
      </c>
      <c r="J163" s="640"/>
      <c r="K163" s="132"/>
    </row>
    <row r="164" spans="1:11" ht="12.75">
      <c r="A164" s="118">
        <v>4221</v>
      </c>
      <c r="B164" s="116" t="s">
        <v>105</v>
      </c>
      <c r="C164" s="116">
        <v>620000</v>
      </c>
      <c r="D164" s="437">
        <f t="shared" si="8"/>
        <v>300000</v>
      </c>
      <c r="E164" s="233"/>
      <c r="F164" s="116"/>
      <c r="G164" s="116"/>
      <c r="H164" s="437"/>
      <c r="I164" s="437">
        <v>300000</v>
      </c>
      <c r="J164" s="480"/>
      <c r="K164" s="132"/>
    </row>
    <row r="165" spans="1:11" ht="12.75">
      <c r="A165" s="118">
        <v>4230</v>
      </c>
      <c r="B165" s="441" t="s">
        <v>415</v>
      </c>
      <c r="C165" s="441">
        <f>C166+C167+C168+C169+C170+C171+C172</f>
        <v>7752000</v>
      </c>
      <c r="D165" s="90">
        <f t="shared" si="8"/>
        <v>9600000</v>
      </c>
      <c r="E165" s="449"/>
      <c r="F165" s="441">
        <v>1600000</v>
      </c>
      <c r="G165" s="441"/>
      <c r="H165" s="441"/>
      <c r="I165" s="441">
        <v>8000000</v>
      </c>
      <c r="J165" s="637"/>
      <c r="K165" s="132"/>
    </row>
    <row r="166" spans="1:11" ht="12.75">
      <c r="A166" s="118">
        <v>4232</v>
      </c>
      <c r="B166" s="116" t="s">
        <v>106</v>
      </c>
      <c r="C166" s="116">
        <v>372000</v>
      </c>
      <c r="D166" s="437">
        <f t="shared" si="8"/>
        <v>420000</v>
      </c>
      <c r="E166" s="233"/>
      <c r="F166" s="116">
        <v>320000</v>
      </c>
      <c r="G166" s="116"/>
      <c r="H166" s="437"/>
      <c r="I166" s="437">
        <v>100000</v>
      </c>
      <c r="J166" s="480"/>
      <c r="K166" s="132"/>
    </row>
    <row r="167" spans="1:11" ht="12.75">
      <c r="A167" s="118">
        <v>4233</v>
      </c>
      <c r="B167" s="116" t="s">
        <v>107</v>
      </c>
      <c r="C167" s="116">
        <v>600000</v>
      </c>
      <c r="D167" s="437">
        <f t="shared" si="8"/>
        <v>1000000</v>
      </c>
      <c r="E167" s="233"/>
      <c r="F167" s="116"/>
      <c r="G167" s="116"/>
      <c r="H167" s="437"/>
      <c r="I167" s="437">
        <v>1000000</v>
      </c>
      <c r="J167" s="480"/>
      <c r="K167" s="132"/>
    </row>
    <row r="168" spans="1:11" ht="12.75">
      <c r="A168" s="118">
        <v>4234</v>
      </c>
      <c r="B168" s="116" t="s">
        <v>108</v>
      </c>
      <c r="C168" s="116">
        <v>260000</v>
      </c>
      <c r="D168" s="437">
        <f t="shared" si="8"/>
        <v>600000</v>
      </c>
      <c r="E168" s="233"/>
      <c r="F168" s="116"/>
      <c r="G168" s="116"/>
      <c r="H168" s="437"/>
      <c r="I168" s="437">
        <v>600000</v>
      </c>
      <c r="J168" s="480"/>
      <c r="K168" s="132"/>
    </row>
    <row r="169" spans="1:11" ht="12.75">
      <c r="A169" s="118">
        <v>4235</v>
      </c>
      <c r="B169" s="116" t="s">
        <v>109</v>
      </c>
      <c r="C169" s="116">
        <v>1800000</v>
      </c>
      <c r="D169" s="437">
        <f t="shared" si="8"/>
        <v>4500000</v>
      </c>
      <c r="E169" s="233"/>
      <c r="F169" s="116"/>
      <c r="G169" s="116"/>
      <c r="H169" s="437"/>
      <c r="I169" s="437">
        <v>4500000</v>
      </c>
      <c r="J169" s="480"/>
      <c r="K169" s="132"/>
    </row>
    <row r="170" spans="1:11" ht="12.75">
      <c r="A170" s="118">
        <v>4236</v>
      </c>
      <c r="B170" s="116" t="s">
        <v>110</v>
      </c>
      <c r="C170" s="116">
        <v>3700000</v>
      </c>
      <c r="D170" s="437">
        <f t="shared" si="8"/>
        <v>2000000</v>
      </c>
      <c r="E170" s="233"/>
      <c r="F170" s="116">
        <v>1000000</v>
      </c>
      <c r="G170" s="116"/>
      <c r="H170" s="437"/>
      <c r="I170" s="437">
        <v>1000000</v>
      </c>
      <c r="J170" s="480"/>
      <c r="K170" s="132"/>
    </row>
    <row r="171" spans="1:11" ht="12.75">
      <c r="A171" s="118">
        <v>4237</v>
      </c>
      <c r="B171" s="116" t="s">
        <v>47</v>
      </c>
      <c r="C171" s="116">
        <v>220000</v>
      </c>
      <c r="D171" s="437">
        <f t="shared" si="8"/>
        <v>200000</v>
      </c>
      <c r="E171" s="233"/>
      <c r="F171" s="116"/>
      <c r="G171" s="116"/>
      <c r="H171" s="437"/>
      <c r="I171" s="437">
        <v>200000</v>
      </c>
      <c r="J171" s="480"/>
      <c r="K171" s="132"/>
    </row>
    <row r="172" spans="1:11" ht="12.75">
      <c r="A172" s="118">
        <v>4239</v>
      </c>
      <c r="B172" s="116" t="s">
        <v>48</v>
      </c>
      <c r="C172" s="116">
        <v>800000</v>
      </c>
      <c r="D172" s="437">
        <f t="shared" si="8"/>
        <v>880000</v>
      </c>
      <c r="E172" s="233"/>
      <c r="F172" s="116">
        <v>280000</v>
      </c>
      <c r="G172" s="116"/>
      <c r="H172" s="437"/>
      <c r="I172" s="437">
        <v>600000</v>
      </c>
      <c r="J172" s="480"/>
      <c r="K172" s="132"/>
    </row>
    <row r="173" spans="1:11" ht="12.75">
      <c r="A173" s="118">
        <v>4240</v>
      </c>
      <c r="B173" s="441" t="s">
        <v>416</v>
      </c>
      <c r="C173" s="441">
        <f>C174</f>
        <v>700000</v>
      </c>
      <c r="D173" s="90">
        <f t="shared" si="8"/>
        <v>5800000</v>
      </c>
      <c r="E173" s="449"/>
      <c r="F173" s="441">
        <v>300000</v>
      </c>
      <c r="G173" s="441"/>
      <c r="H173" s="441"/>
      <c r="I173" s="441">
        <v>5500000</v>
      </c>
      <c r="J173" s="637"/>
      <c r="K173" s="132"/>
    </row>
    <row r="174" spans="1:11" ht="12.75">
      <c r="A174" s="118">
        <v>4243</v>
      </c>
      <c r="B174" s="116" t="s">
        <v>111</v>
      </c>
      <c r="C174" s="116">
        <v>700000</v>
      </c>
      <c r="D174" s="437">
        <f t="shared" si="8"/>
        <v>5800000</v>
      </c>
      <c r="E174" s="233"/>
      <c r="F174" s="116">
        <v>300000</v>
      </c>
      <c r="G174" s="116"/>
      <c r="H174" s="437"/>
      <c r="I174" s="437">
        <v>5500000</v>
      </c>
      <c r="J174" s="480"/>
      <c r="K174" s="132"/>
    </row>
    <row r="175" spans="1:11" ht="12.75">
      <c r="A175" s="118">
        <v>4250</v>
      </c>
      <c r="B175" s="441" t="s">
        <v>417</v>
      </c>
      <c r="C175" s="441">
        <f>C176+C177</f>
        <v>4480000</v>
      </c>
      <c r="D175" s="90">
        <f t="shared" si="8"/>
        <v>8957000</v>
      </c>
      <c r="E175" s="449"/>
      <c r="F175" s="441">
        <v>3130000</v>
      </c>
      <c r="G175" s="441"/>
      <c r="H175" s="441"/>
      <c r="I175" s="441">
        <v>5827000</v>
      </c>
      <c r="J175" s="637"/>
      <c r="K175" s="132"/>
    </row>
    <row r="176" spans="1:11" ht="12.75">
      <c r="A176" s="118">
        <v>4251</v>
      </c>
      <c r="B176" s="116" t="s">
        <v>112</v>
      </c>
      <c r="C176" s="135">
        <v>2100000</v>
      </c>
      <c r="D176" s="437">
        <f t="shared" si="8"/>
        <v>7057000</v>
      </c>
      <c r="E176" s="233"/>
      <c r="F176" s="116">
        <v>2730000</v>
      </c>
      <c r="G176" s="116"/>
      <c r="H176" s="437"/>
      <c r="I176" s="437">
        <v>4327000</v>
      </c>
      <c r="J176" s="480"/>
      <c r="K176" s="132"/>
    </row>
    <row r="177" spans="1:11" ht="12.75">
      <c r="A177" s="118">
        <v>4252</v>
      </c>
      <c r="B177" s="116" t="s">
        <v>113</v>
      </c>
      <c r="C177" s="116">
        <v>2380000</v>
      </c>
      <c r="D177" s="437">
        <f t="shared" si="8"/>
        <v>1900000</v>
      </c>
      <c r="E177" s="233"/>
      <c r="F177" s="116">
        <v>400000</v>
      </c>
      <c r="G177" s="116"/>
      <c r="H177" s="437"/>
      <c r="I177" s="437">
        <v>1500000</v>
      </c>
      <c r="J177" s="480"/>
      <c r="K177" s="132"/>
    </row>
    <row r="178" spans="1:11" ht="12.75">
      <c r="A178" s="118">
        <v>4260</v>
      </c>
      <c r="B178" s="441" t="s">
        <v>418</v>
      </c>
      <c r="C178" s="441">
        <f>C179+C180+C181+C182+C186+C187+C188+C189</f>
        <v>48492000</v>
      </c>
      <c r="D178" s="90">
        <f t="shared" si="8"/>
        <v>66163000</v>
      </c>
      <c r="E178" s="449"/>
      <c r="F178" s="441">
        <v>51041000</v>
      </c>
      <c r="G178" s="441"/>
      <c r="H178" s="441"/>
      <c r="I178" s="441">
        <v>15122000</v>
      </c>
      <c r="J178" s="637"/>
      <c r="K178" s="132"/>
    </row>
    <row r="179" spans="1:11" ht="12.75">
      <c r="A179" s="118">
        <v>4261</v>
      </c>
      <c r="B179" s="116" t="s">
        <v>114</v>
      </c>
      <c r="C179" s="116">
        <v>3000000</v>
      </c>
      <c r="D179" s="437">
        <f t="shared" si="8"/>
        <v>5000000</v>
      </c>
      <c r="E179" s="233"/>
      <c r="F179" s="116">
        <v>3800000</v>
      </c>
      <c r="G179" s="116"/>
      <c r="H179" s="437"/>
      <c r="I179" s="437">
        <v>1200000</v>
      </c>
      <c r="J179" s="480"/>
      <c r="K179" s="132"/>
    </row>
    <row r="180" spans="1:11" ht="12.75">
      <c r="A180" s="118">
        <v>4263</v>
      </c>
      <c r="B180" s="116" t="s">
        <v>115</v>
      </c>
      <c r="C180" s="116">
        <v>300000</v>
      </c>
      <c r="D180" s="437">
        <f t="shared" si="8"/>
        <v>1500000</v>
      </c>
      <c r="E180" s="233"/>
      <c r="F180" s="116"/>
      <c r="G180" s="116"/>
      <c r="H180" s="437"/>
      <c r="I180" s="437">
        <v>1500000</v>
      </c>
      <c r="J180" s="480"/>
      <c r="K180" s="132"/>
    </row>
    <row r="181" spans="1:11" ht="12.75">
      <c r="A181" s="118">
        <v>4264</v>
      </c>
      <c r="B181" s="116" t="s">
        <v>419</v>
      </c>
      <c r="C181" s="116">
        <v>16850000</v>
      </c>
      <c r="D181" s="437">
        <f t="shared" si="8"/>
        <v>19762000</v>
      </c>
      <c r="E181" s="233"/>
      <c r="F181" s="116">
        <v>19762000</v>
      </c>
      <c r="G181" s="116"/>
      <c r="H181" s="437"/>
      <c r="I181" s="437"/>
      <c r="J181" s="480"/>
      <c r="K181" s="132"/>
    </row>
    <row r="182" spans="1:11" ht="12.75">
      <c r="A182" s="118">
        <v>426711</v>
      </c>
      <c r="B182" s="116" t="s">
        <v>420</v>
      </c>
      <c r="C182" s="116">
        <v>12712000</v>
      </c>
      <c r="D182" s="84">
        <f>F182+I182</f>
        <v>18451000</v>
      </c>
      <c r="E182" s="233"/>
      <c r="F182" s="116">
        <v>10051000</v>
      </c>
      <c r="G182" s="116"/>
      <c r="H182" s="437"/>
      <c r="I182" s="437">
        <f>6800000+1600000</f>
        <v>8400000</v>
      </c>
      <c r="J182" s="480"/>
      <c r="K182" s="132"/>
    </row>
    <row r="183" spans="1:11" ht="12.75">
      <c r="A183" s="91"/>
      <c r="B183" s="144"/>
      <c r="C183" s="144"/>
      <c r="D183" s="92"/>
      <c r="E183" s="144"/>
      <c r="F183" s="144"/>
      <c r="G183" s="144"/>
      <c r="H183" s="480"/>
      <c r="I183" s="480"/>
      <c r="J183" s="480"/>
      <c r="K183" s="132"/>
    </row>
    <row r="184" spans="1:11" ht="12.75">
      <c r="A184" s="18"/>
      <c r="B184" s="15" t="s">
        <v>395</v>
      </c>
      <c r="C184" s="15"/>
      <c r="D184" s="15"/>
      <c r="E184" s="15"/>
      <c r="F184" s="91" t="s">
        <v>221</v>
      </c>
      <c r="G184" s="91"/>
      <c r="H184" s="433" t="s">
        <v>439</v>
      </c>
      <c r="K184" s="132"/>
    </row>
    <row r="185" spans="1:11" ht="33.75">
      <c r="A185" s="435" t="s">
        <v>399</v>
      </c>
      <c r="B185" s="435" t="s">
        <v>400</v>
      </c>
      <c r="C185" s="167" t="s">
        <v>394</v>
      </c>
      <c r="D185" s="167" t="s">
        <v>401</v>
      </c>
      <c r="E185" s="167" t="s">
        <v>402</v>
      </c>
      <c r="F185" s="167" t="s">
        <v>403</v>
      </c>
      <c r="G185" s="167"/>
      <c r="H185" s="438" t="s">
        <v>397</v>
      </c>
      <c r="I185" s="439" t="s">
        <v>404</v>
      </c>
      <c r="J185" s="636"/>
      <c r="K185" s="132"/>
    </row>
    <row r="186" spans="1:11" ht="12.75">
      <c r="A186" s="118">
        <v>426713</v>
      </c>
      <c r="B186" s="116" t="s">
        <v>422</v>
      </c>
      <c r="C186" s="116"/>
      <c r="D186" s="437">
        <v>3200000</v>
      </c>
      <c r="E186" s="233"/>
      <c r="F186" s="116">
        <v>2400000</v>
      </c>
      <c r="G186" s="116"/>
      <c r="H186" s="437"/>
      <c r="I186" s="437">
        <v>800000</v>
      </c>
      <c r="J186" s="480"/>
      <c r="K186" s="132"/>
    </row>
    <row r="187" spans="1:11" ht="12.75">
      <c r="A187" s="118">
        <v>426751</v>
      </c>
      <c r="B187" s="116" t="s">
        <v>421</v>
      </c>
      <c r="C187" s="116">
        <v>13930000</v>
      </c>
      <c r="D187" s="84">
        <f>F187+I187</f>
        <v>13428000</v>
      </c>
      <c r="E187" s="233"/>
      <c r="F187" s="116">
        <f>11028000</f>
        <v>11028000</v>
      </c>
      <c r="G187" s="116"/>
      <c r="H187" s="437"/>
      <c r="I187" s="437">
        <v>2400000</v>
      </c>
      <c r="J187" s="480"/>
      <c r="K187" s="132"/>
    </row>
    <row r="188" spans="1:11" ht="12.75">
      <c r="A188" s="118">
        <v>4268</v>
      </c>
      <c r="B188" s="135" t="s">
        <v>118</v>
      </c>
      <c r="C188" s="135">
        <v>1000000</v>
      </c>
      <c r="D188" s="437">
        <f t="shared" si="8"/>
        <v>2000000</v>
      </c>
      <c r="E188" s="233"/>
      <c r="F188" s="116">
        <v>2000000</v>
      </c>
      <c r="G188" s="116"/>
      <c r="H188" s="437"/>
      <c r="I188" s="437"/>
      <c r="J188" s="480"/>
      <c r="K188" s="132"/>
    </row>
    <row r="189" spans="1:11" ht="12.75">
      <c r="A189" s="118">
        <v>4269</v>
      </c>
      <c r="B189" s="135" t="s">
        <v>119</v>
      </c>
      <c r="C189" s="135">
        <v>700000</v>
      </c>
      <c r="D189" s="437">
        <f t="shared" si="8"/>
        <v>2822000</v>
      </c>
      <c r="E189" s="233"/>
      <c r="F189" s="116">
        <v>2000000</v>
      </c>
      <c r="G189" s="116"/>
      <c r="H189" s="437"/>
      <c r="I189" s="437">
        <v>822000</v>
      </c>
      <c r="J189" s="480"/>
      <c r="K189" s="132"/>
    </row>
    <row r="190" spans="1:11" ht="12.75">
      <c r="A190" s="118">
        <v>4300</v>
      </c>
      <c r="B190" s="106" t="s">
        <v>423</v>
      </c>
      <c r="C190" s="106"/>
      <c r="D190" s="90">
        <f t="shared" si="8"/>
        <v>400000</v>
      </c>
      <c r="E190" s="228"/>
      <c r="F190" s="90"/>
      <c r="G190" s="90"/>
      <c r="H190" s="90"/>
      <c r="I190" s="90">
        <v>400000</v>
      </c>
      <c r="J190" s="120"/>
      <c r="K190" s="132"/>
    </row>
    <row r="191" spans="1:11" ht="22.5">
      <c r="A191" s="118">
        <v>4400</v>
      </c>
      <c r="B191" s="440" t="s">
        <v>424</v>
      </c>
      <c r="C191" s="106">
        <v>200000</v>
      </c>
      <c r="D191" s="90">
        <f t="shared" si="8"/>
        <v>40000</v>
      </c>
      <c r="E191" s="228"/>
      <c r="F191" s="90"/>
      <c r="G191" s="90"/>
      <c r="H191" s="90"/>
      <c r="I191" s="90">
        <v>40000</v>
      </c>
      <c r="J191" s="120"/>
      <c r="K191" s="132"/>
    </row>
    <row r="192" spans="1:11" ht="12.75">
      <c r="A192" s="118">
        <v>4800</v>
      </c>
      <c r="B192" s="440" t="s">
        <v>425</v>
      </c>
      <c r="C192" s="106">
        <f>C193</f>
        <v>608000</v>
      </c>
      <c r="D192" s="90">
        <f t="shared" si="8"/>
        <v>2800000</v>
      </c>
      <c r="E192" s="228"/>
      <c r="F192" s="90">
        <f>F193</f>
        <v>300000</v>
      </c>
      <c r="G192" s="90"/>
      <c r="H192" s="90"/>
      <c r="I192" s="90">
        <f>I193</f>
        <v>2500000</v>
      </c>
      <c r="J192" s="120"/>
      <c r="K192" s="132"/>
    </row>
    <row r="193" spans="1:11" ht="12.75">
      <c r="A193" s="118">
        <v>4820</v>
      </c>
      <c r="B193" s="116" t="s">
        <v>426</v>
      </c>
      <c r="C193" s="116">
        <v>608000</v>
      </c>
      <c r="D193" s="90">
        <f t="shared" si="8"/>
        <v>2800000</v>
      </c>
      <c r="E193" s="233"/>
      <c r="F193" s="116">
        <v>300000</v>
      </c>
      <c r="G193" s="116"/>
      <c r="H193" s="437"/>
      <c r="I193" s="437">
        <v>2500000</v>
      </c>
      <c r="J193" s="480"/>
      <c r="K193" s="132"/>
    </row>
    <row r="194" spans="1:11" ht="12.75">
      <c r="A194" s="118"/>
      <c r="B194" s="106" t="s">
        <v>449</v>
      </c>
      <c r="C194" s="106">
        <f aca="true" t="shared" si="9" ref="C194:I194">C192+C191+C190+C178+C175+C173+C165+C157+C156+C155+C154+C153+C152+C163</f>
        <v>550072000</v>
      </c>
      <c r="D194" s="106">
        <f t="shared" si="9"/>
        <v>594760000</v>
      </c>
      <c r="E194" s="106">
        <f t="shared" si="9"/>
        <v>6320000</v>
      </c>
      <c r="F194" s="106">
        <f t="shared" si="9"/>
        <v>526551000</v>
      </c>
      <c r="G194" s="106"/>
      <c r="H194" s="106">
        <f t="shared" si="9"/>
        <v>0</v>
      </c>
      <c r="I194" s="106">
        <f t="shared" si="9"/>
        <v>61889000</v>
      </c>
      <c r="J194" s="125"/>
      <c r="K194" s="132"/>
    </row>
    <row r="195" spans="1:10" ht="12.75">
      <c r="A195" s="91"/>
      <c r="B195" s="456"/>
      <c r="C195" s="457"/>
      <c r="D195" s="458"/>
      <c r="E195" s="458"/>
      <c r="F195" s="458"/>
      <c r="G195" s="458"/>
      <c r="H195" s="458"/>
      <c r="I195" s="458"/>
      <c r="J195" s="458"/>
    </row>
    <row r="196" spans="2:10" ht="12.75">
      <c r="B196" s="455" t="s">
        <v>437</v>
      </c>
      <c r="C196" s="454"/>
      <c r="D196" s="453"/>
      <c r="E196" s="453"/>
      <c r="F196" s="453"/>
      <c r="G196" s="453"/>
      <c r="H196" s="453"/>
      <c r="I196" s="453"/>
      <c r="J196" s="453"/>
    </row>
    <row r="197" spans="1:10" ht="33.75">
      <c r="A197" s="435" t="s">
        <v>399</v>
      </c>
      <c r="B197" s="435" t="s">
        <v>400</v>
      </c>
      <c r="C197" s="167" t="s">
        <v>394</v>
      </c>
      <c r="D197" s="167" t="s">
        <v>401</v>
      </c>
      <c r="E197" s="167" t="s">
        <v>402</v>
      </c>
      <c r="F197" s="167" t="s">
        <v>403</v>
      </c>
      <c r="G197" s="167"/>
      <c r="H197" s="438" t="s">
        <v>397</v>
      </c>
      <c r="I197" s="439" t="s">
        <v>404</v>
      </c>
      <c r="J197" s="636"/>
    </row>
    <row r="198" spans="1:11" ht="12.75">
      <c r="A198" s="438">
        <v>51110</v>
      </c>
      <c r="B198" s="438" t="s">
        <v>432</v>
      </c>
      <c r="C198" s="441">
        <f>C199+C200+C201+C202+C203+C204</f>
        <v>23292934</v>
      </c>
      <c r="D198" s="431">
        <f>D199+D200+D201+D202+D203+D204+D205+D206</f>
        <v>14618350</v>
      </c>
      <c r="E198" s="431">
        <f>E199+E200+E201+E202+E203+E204+E205+E206</f>
        <v>5978350</v>
      </c>
      <c r="F198" s="431">
        <f>F199+F200+F201+F202+F203+F204+F205+F206</f>
        <v>0</v>
      </c>
      <c r="G198" s="431"/>
      <c r="H198" s="431">
        <f>H199+H200+H201+H202+H203+H204+H205+H206</f>
        <v>0</v>
      </c>
      <c r="I198" s="431">
        <f>I199+I200+I201+I202+I203+I204+I205+I206</f>
        <v>8640000</v>
      </c>
      <c r="J198" s="640"/>
      <c r="K198" s="132"/>
    </row>
    <row r="199" spans="1:11" ht="12.75">
      <c r="A199" s="436"/>
      <c r="B199" s="34" t="s">
        <v>448</v>
      </c>
      <c r="C199" s="437">
        <v>4406465</v>
      </c>
      <c r="D199" s="431">
        <v>3876350</v>
      </c>
      <c r="E199" s="424">
        <v>176350</v>
      </c>
      <c r="F199" s="424"/>
      <c r="G199" s="424"/>
      <c r="H199" s="424"/>
      <c r="I199" s="424">
        <v>3700000</v>
      </c>
      <c r="J199" s="599"/>
      <c r="K199" s="132"/>
    </row>
    <row r="200" spans="1:11" ht="12.75">
      <c r="A200" s="436"/>
      <c r="B200" s="436" t="s">
        <v>442</v>
      </c>
      <c r="C200" s="437">
        <v>3361402</v>
      </c>
      <c r="D200" s="431">
        <f aca="true" t="shared" si="10" ref="D200:D212">E200+F200+H200+I200</f>
        <v>0</v>
      </c>
      <c r="E200" s="424"/>
      <c r="F200" s="424"/>
      <c r="G200" s="424"/>
      <c r="H200" s="424"/>
      <c r="I200" s="424"/>
      <c r="J200" s="599"/>
      <c r="K200" s="132"/>
    </row>
    <row r="201" spans="1:11" ht="12.75">
      <c r="A201" s="436"/>
      <c r="B201" s="436" t="s">
        <v>443</v>
      </c>
      <c r="C201" s="437">
        <v>5751262</v>
      </c>
      <c r="D201" s="431">
        <f t="shared" si="10"/>
        <v>2500000</v>
      </c>
      <c r="E201" s="424">
        <v>1500000</v>
      </c>
      <c r="F201" s="424"/>
      <c r="G201" s="424"/>
      <c r="H201" s="424"/>
      <c r="I201" s="424">
        <v>1000000</v>
      </c>
      <c r="J201" s="599"/>
      <c r="K201" s="132"/>
    </row>
    <row r="202" spans="1:11" ht="12.75">
      <c r="A202" s="436"/>
      <c r="B202" s="436" t="s">
        <v>444</v>
      </c>
      <c r="C202" s="437">
        <v>3866200</v>
      </c>
      <c r="D202" s="431">
        <f t="shared" si="10"/>
        <v>0</v>
      </c>
      <c r="E202" s="424"/>
      <c r="F202" s="424"/>
      <c r="G202" s="424"/>
      <c r="H202" s="424"/>
      <c r="I202" s="424"/>
      <c r="J202" s="599"/>
      <c r="K202" s="132"/>
    </row>
    <row r="203" spans="1:11" ht="12.75">
      <c r="A203" s="436"/>
      <c r="B203" s="436" t="s">
        <v>445</v>
      </c>
      <c r="C203" s="437">
        <v>5907605</v>
      </c>
      <c r="D203" s="431">
        <f t="shared" si="10"/>
        <v>0</v>
      </c>
      <c r="E203" s="424"/>
      <c r="F203" s="424"/>
      <c r="G203" s="424"/>
      <c r="H203" s="424"/>
      <c r="I203" s="424"/>
      <c r="J203" s="599"/>
      <c r="K203" s="132"/>
    </row>
    <row r="204" spans="1:11" ht="12.75">
      <c r="A204" s="436"/>
      <c r="B204" s="436" t="s">
        <v>447</v>
      </c>
      <c r="C204" s="437"/>
      <c r="D204" s="431">
        <f t="shared" si="10"/>
        <v>2900000</v>
      </c>
      <c r="E204" s="424"/>
      <c r="F204" s="424"/>
      <c r="G204" s="424"/>
      <c r="H204" s="424"/>
      <c r="I204" s="424">
        <v>2900000</v>
      </c>
      <c r="J204" s="599"/>
      <c r="K204" s="132"/>
    </row>
    <row r="205" spans="1:11" ht="12.75">
      <c r="A205" s="436"/>
      <c r="B205" s="34" t="s">
        <v>452</v>
      </c>
      <c r="C205" s="437"/>
      <c r="D205" s="431">
        <f>E205</f>
        <v>4302000</v>
      </c>
      <c r="E205" s="424">
        <f>2745000+1557000</f>
        <v>4302000</v>
      </c>
      <c r="F205" s="424"/>
      <c r="G205" s="424"/>
      <c r="H205" s="424"/>
      <c r="I205" s="424"/>
      <c r="J205" s="599"/>
      <c r="K205" s="132"/>
    </row>
    <row r="206" spans="1:11" ht="22.5">
      <c r="A206" s="436"/>
      <c r="B206" s="474" t="s">
        <v>451</v>
      </c>
      <c r="C206" s="437"/>
      <c r="D206" s="431">
        <f t="shared" si="10"/>
        <v>1040000</v>
      </c>
      <c r="E206" s="424"/>
      <c r="F206" s="424"/>
      <c r="G206" s="424"/>
      <c r="H206" s="424"/>
      <c r="I206" s="424">
        <v>1040000</v>
      </c>
      <c r="J206" s="599"/>
      <c r="K206" s="132"/>
    </row>
    <row r="207" spans="1:11" ht="12.75">
      <c r="A207" s="438">
        <v>5120</v>
      </c>
      <c r="B207" s="438" t="s">
        <v>433</v>
      </c>
      <c r="C207" s="441">
        <f aca="true" t="shared" si="11" ref="C207:I207">C208+C209+C210+C211+C212</f>
        <v>37833466</v>
      </c>
      <c r="D207" s="431">
        <f t="shared" si="11"/>
        <v>25615000</v>
      </c>
      <c r="E207" s="431">
        <f t="shared" si="11"/>
        <v>8000000</v>
      </c>
      <c r="F207" s="431">
        <f t="shared" si="11"/>
        <v>0</v>
      </c>
      <c r="G207" s="431"/>
      <c r="H207" s="431">
        <f t="shared" si="11"/>
        <v>2000000</v>
      </c>
      <c r="I207" s="431">
        <f t="shared" si="11"/>
        <v>15615000</v>
      </c>
      <c r="J207" s="640"/>
      <c r="K207" s="132"/>
    </row>
    <row r="208" spans="1:10" ht="12.75">
      <c r="A208" s="436"/>
      <c r="B208" s="436" t="s">
        <v>434</v>
      </c>
      <c r="C208" s="437">
        <v>3000000</v>
      </c>
      <c r="D208" s="431">
        <f t="shared" si="10"/>
        <v>3120000</v>
      </c>
      <c r="E208" s="424">
        <v>2000000</v>
      </c>
      <c r="F208" s="424"/>
      <c r="G208" s="424"/>
      <c r="H208" s="424"/>
      <c r="I208" s="424">
        <v>1120000</v>
      </c>
      <c r="J208" s="599"/>
    </row>
    <row r="209" spans="1:10" ht="12.75">
      <c r="A209" s="436"/>
      <c r="B209" s="436" t="s">
        <v>435</v>
      </c>
      <c r="C209" s="437">
        <v>24472000</v>
      </c>
      <c r="D209" s="431">
        <f t="shared" si="10"/>
        <v>8170000</v>
      </c>
      <c r="E209" s="424">
        <v>3500000</v>
      </c>
      <c r="F209" s="424"/>
      <c r="G209" s="424"/>
      <c r="H209" s="424">
        <v>1700000</v>
      </c>
      <c r="I209" s="424">
        <v>2970000</v>
      </c>
      <c r="J209" s="599"/>
    </row>
    <row r="210" spans="1:10" ht="12.75">
      <c r="A210" s="436"/>
      <c r="B210" s="436" t="s">
        <v>436</v>
      </c>
      <c r="C210" s="437">
        <v>2000000</v>
      </c>
      <c r="D210" s="431">
        <f t="shared" si="10"/>
        <v>3755000</v>
      </c>
      <c r="E210" s="424">
        <v>2500000</v>
      </c>
      <c r="F210" s="424"/>
      <c r="G210" s="424"/>
      <c r="H210" s="424"/>
      <c r="I210" s="424">
        <v>1255000</v>
      </c>
      <c r="J210" s="599"/>
    </row>
    <row r="211" spans="1:10" ht="12.75">
      <c r="A211" s="436"/>
      <c r="B211" s="436" t="s">
        <v>446</v>
      </c>
      <c r="C211" s="437"/>
      <c r="D211" s="431">
        <f t="shared" si="10"/>
        <v>7400000</v>
      </c>
      <c r="E211" s="424"/>
      <c r="F211" s="424"/>
      <c r="G211" s="424"/>
      <c r="H211" s="424"/>
      <c r="I211" s="424">
        <v>7400000</v>
      </c>
      <c r="J211" s="599"/>
    </row>
    <row r="212" spans="1:10" ht="12.75">
      <c r="A212" s="436"/>
      <c r="B212" s="34" t="s">
        <v>453</v>
      </c>
      <c r="C212" s="437">
        <v>8361466</v>
      </c>
      <c r="D212" s="431">
        <f t="shared" si="10"/>
        <v>3170000</v>
      </c>
      <c r="E212" s="424"/>
      <c r="F212" s="424"/>
      <c r="G212" s="424"/>
      <c r="H212" s="424">
        <v>300000</v>
      </c>
      <c r="I212" s="424">
        <v>2870000</v>
      </c>
      <c r="J212" s="599"/>
    </row>
    <row r="213" spans="1:10" ht="12.75">
      <c r="A213" s="436"/>
      <c r="B213" s="452" t="s">
        <v>357</v>
      </c>
      <c r="C213" s="476">
        <f>C207+C198</f>
        <v>61126400</v>
      </c>
      <c r="D213" s="475">
        <f>D198+D207</f>
        <v>40233350</v>
      </c>
      <c r="E213" s="475">
        <f>E198+E207</f>
        <v>13978350</v>
      </c>
      <c r="F213" s="475">
        <f>F198+F207</f>
        <v>0</v>
      </c>
      <c r="G213" s="475"/>
      <c r="H213" s="475">
        <f>H198+H207</f>
        <v>2000000</v>
      </c>
      <c r="I213" s="475">
        <f>I198+I207</f>
        <v>24255000</v>
      </c>
      <c r="J213" s="641"/>
    </row>
    <row r="214" ht="12.75">
      <c r="C214" s="479"/>
    </row>
    <row r="216" spans="2:10" ht="12.75">
      <c r="B216" s="477" t="s">
        <v>454</v>
      </c>
      <c r="C216" s="478">
        <f aca="true" t="shared" si="12" ref="C216:I216">C213+C194</f>
        <v>611198400</v>
      </c>
      <c r="D216" s="477">
        <f t="shared" si="12"/>
        <v>634993350</v>
      </c>
      <c r="E216" s="477">
        <f t="shared" si="12"/>
        <v>20298350</v>
      </c>
      <c r="F216" s="477">
        <f t="shared" si="12"/>
        <v>526551000</v>
      </c>
      <c r="G216" s="477"/>
      <c r="H216" s="477">
        <f t="shared" si="12"/>
        <v>2000000</v>
      </c>
      <c r="I216" s="477">
        <f t="shared" si="12"/>
        <v>86144000</v>
      </c>
      <c r="J216" s="642"/>
    </row>
    <row r="217" spans="9:10" ht="12.75">
      <c r="I217" s="9"/>
      <c r="J217" s="9"/>
    </row>
    <row r="220" ht="12.75">
      <c r="D220" s="27"/>
    </row>
    <row r="228" spans="2:10" ht="12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12.75">
      <c r="B229" s="433"/>
      <c r="C229" s="433"/>
      <c r="D229" s="433"/>
      <c r="E229" s="433"/>
      <c r="F229" s="432"/>
      <c r="G229" s="432"/>
      <c r="H229" s="433"/>
      <c r="I229" s="433"/>
      <c r="J229" s="433"/>
    </row>
    <row r="230" spans="2:10" ht="12.75">
      <c r="B230" s="430" t="s">
        <v>431</v>
      </c>
      <c r="C230" s="461">
        <v>61126400</v>
      </c>
      <c r="D230" s="431">
        <f>620643000-D194</f>
        <v>25883000</v>
      </c>
      <c r="E230" s="431">
        <f>E144-E154</f>
        <v>13978350</v>
      </c>
      <c r="F230" s="424"/>
      <c r="G230" s="424"/>
      <c r="H230" s="431"/>
      <c r="I230" s="431">
        <f>I142-I194</f>
        <v>9905000</v>
      </c>
      <c r="J230" s="640"/>
    </row>
    <row r="231" spans="2:10" ht="12.75">
      <c r="B231" s="468" t="s">
        <v>430</v>
      </c>
      <c r="C231" s="469">
        <f>C194+C230</f>
        <v>611198400</v>
      </c>
      <c r="D231" s="470">
        <f>SUM(D194:D230)</f>
        <v>1376336400</v>
      </c>
      <c r="E231" s="470">
        <f>E194+E230</f>
        <v>20298350</v>
      </c>
      <c r="F231" s="470">
        <f>SUM(F194:F230)</f>
        <v>1053102000</v>
      </c>
      <c r="G231" s="470"/>
      <c r="H231" s="470">
        <f>SUM(H230)</f>
        <v>0</v>
      </c>
      <c r="I231" s="470">
        <f>SUM(I194:I230)</f>
        <v>230703000</v>
      </c>
      <c r="J231" s="643"/>
    </row>
    <row r="232" spans="2:10" ht="22.5">
      <c r="B232" s="439" t="s">
        <v>440</v>
      </c>
      <c r="C232" s="460"/>
      <c r="D232" s="451">
        <v>14350000</v>
      </c>
      <c r="E232" s="451"/>
      <c r="F232" s="451"/>
      <c r="G232" s="451"/>
      <c r="H232" s="451"/>
      <c r="I232" s="451">
        <v>14350000</v>
      </c>
      <c r="J232" s="644"/>
    </row>
    <row r="233" spans="2:10" ht="25.5">
      <c r="B233" s="459" t="s">
        <v>441</v>
      </c>
      <c r="C233" s="462">
        <f>C194+C230</f>
        <v>611198400</v>
      </c>
      <c r="D233" s="463">
        <f>D231+D232</f>
        <v>1390686400</v>
      </c>
      <c r="E233" s="463">
        <f>E231+E232</f>
        <v>20298350</v>
      </c>
      <c r="F233" s="463">
        <f>F231+F232</f>
        <v>1053102000</v>
      </c>
      <c r="G233" s="463"/>
      <c r="H233" s="463">
        <f>H231+H232</f>
        <v>0</v>
      </c>
      <c r="I233" s="463">
        <f>I231+I232</f>
        <v>245053000</v>
      </c>
      <c r="J233" s="514"/>
    </row>
    <row r="234" spans="2:10" ht="12.75">
      <c r="B234" s="471" t="s">
        <v>450</v>
      </c>
      <c r="C234" s="472"/>
      <c r="D234" s="473">
        <f>D230+D232</f>
        <v>40233000</v>
      </c>
      <c r="E234" s="473">
        <f>E230+E232</f>
        <v>13978350</v>
      </c>
      <c r="F234" s="473">
        <f>F230+F232</f>
        <v>0</v>
      </c>
      <c r="G234" s="473"/>
      <c r="H234" s="473">
        <f>H230+H232</f>
        <v>0</v>
      </c>
      <c r="I234" s="473">
        <f>I230+I232</f>
        <v>24255000</v>
      </c>
      <c r="J234" s="473"/>
    </row>
    <row r="235" spans="2:10" ht="12.75">
      <c r="B235" s="464"/>
      <c r="C235" s="465"/>
      <c r="D235" s="466"/>
      <c r="E235" s="466"/>
      <c r="F235" s="466"/>
      <c r="G235" s="466"/>
      <c r="H235" s="466"/>
      <c r="I235" s="467"/>
      <c r="J235" s="645"/>
    </row>
    <row r="236" spans="1:10" ht="12.75">
      <c r="A236" s="540"/>
      <c r="B236" s="541"/>
      <c r="C236" s="542"/>
      <c r="D236" s="543"/>
      <c r="E236" s="543"/>
      <c r="F236" s="543"/>
      <c r="G236" s="543"/>
      <c r="H236" s="543"/>
      <c r="I236" s="543"/>
      <c r="J236" s="543"/>
    </row>
    <row r="237" spans="1:10" ht="12.75">
      <c r="A237" s="540"/>
      <c r="B237" s="541"/>
      <c r="C237" s="542"/>
      <c r="D237" s="543"/>
      <c r="E237" s="543"/>
      <c r="F237" s="543"/>
      <c r="G237" s="543"/>
      <c r="H237" s="543"/>
      <c r="I237" s="543"/>
      <c r="J237" s="543"/>
    </row>
    <row r="238" spans="1:10" ht="12.75">
      <c r="A238" s="540"/>
      <c r="B238" s="541"/>
      <c r="C238" s="542"/>
      <c r="D238" s="543"/>
      <c r="E238" s="543"/>
      <c r="F238" s="543"/>
      <c r="G238" s="543"/>
      <c r="H238" s="543"/>
      <c r="I238" s="543"/>
      <c r="J238" s="543"/>
    </row>
    <row r="239" spans="1:10" ht="12.75">
      <c r="A239" s="540"/>
      <c r="B239" s="541"/>
      <c r="C239" s="542"/>
      <c r="D239" s="543"/>
      <c r="E239" s="543"/>
      <c r="F239" s="543"/>
      <c r="G239" s="543"/>
      <c r="H239" s="543"/>
      <c r="I239" s="543"/>
      <c r="J239" s="543"/>
    </row>
    <row r="240" spans="1:10" ht="12.75">
      <c r="A240" s="540"/>
      <c r="B240" s="541"/>
      <c r="C240" s="542"/>
      <c r="D240" s="543"/>
      <c r="E240" s="543"/>
      <c r="F240" s="543"/>
      <c r="G240" s="543"/>
      <c r="H240" s="543"/>
      <c r="I240" s="543"/>
      <c r="J240" s="543"/>
    </row>
    <row r="241" spans="1:10" ht="12.75">
      <c r="A241" s="540"/>
      <c r="B241" s="541"/>
      <c r="C241" s="542"/>
      <c r="D241" s="543"/>
      <c r="E241" s="543"/>
      <c r="F241" s="543"/>
      <c r="G241" s="543"/>
      <c r="H241" s="543"/>
      <c r="I241" s="543"/>
      <c r="J241" s="543"/>
    </row>
    <row r="242" spans="1:10" ht="12.75">
      <c r="A242" s="540"/>
      <c r="B242" s="541"/>
      <c r="C242" s="542"/>
      <c r="D242" s="543"/>
      <c r="E242" s="543"/>
      <c r="F242" s="543"/>
      <c r="G242" s="543"/>
      <c r="H242" s="543"/>
      <c r="I242" s="543"/>
      <c r="J242" s="543"/>
    </row>
    <row r="243" spans="1:10" ht="12.75">
      <c r="A243" s="540"/>
      <c r="B243" s="541"/>
      <c r="C243" s="542"/>
      <c r="D243" s="543"/>
      <c r="E243" s="543"/>
      <c r="F243" s="543"/>
      <c r="G243" s="543"/>
      <c r="H243" s="543"/>
      <c r="I243" s="543"/>
      <c r="J243" s="543"/>
    </row>
    <row r="244" spans="1:10" ht="12.75">
      <c r="A244" s="540"/>
      <c r="B244" s="541"/>
      <c r="C244" s="542"/>
      <c r="D244" s="543"/>
      <c r="E244" s="543"/>
      <c r="F244" s="543"/>
      <c r="G244" s="543"/>
      <c r="H244" s="543"/>
      <c r="I244" s="543"/>
      <c r="J244" s="543"/>
    </row>
    <row r="245" spans="1:10" ht="12.75">
      <c r="A245" s="540"/>
      <c r="B245" s="541"/>
      <c r="C245" s="542"/>
      <c r="D245" s="543"/>
      <c r="E245" s="543"/>
      <c r="F245" s="543"/>
      <c r="G245" s="543"/>
      <c r="H245" s="543"/>
      <c r="I245" s="543"/>
      <c r="J245" s="543"/>
    </row>
    <row r="246" spans="1:10" ht="12.75">
      <c r="A246" s="540"/>
      <c r="B246" s="541"/>
      <c r="C246" s="542"/>
      <c r="D246" s="543"/>
      <c r="E246" s="543"/>
      <c r="F246" s="543"/>
      <c r="G246" s="543"/>
      <c r="H246" s="543"/>
      <c r="I246" s="543"/>
      <c r="J246" s="543"/>
    </row>
    <row r="247" spans="1:10" ht="12.75">
      <c r="A247" s="540"/>
      <c r="B247" s="541"/>
      <c r="C247" s="542"/>
      <c r="D247" s="543"/>
      <c r="E247" s="543"/>
      <c r="F247" s="543"/>
      <c r="G247" s="543"/>
      <c r="H247" s="543"/>
      <c r="I247" s="543"/>
      <c r="J247" s="543"/>
    </row>
    <row r="248" spans="1:10" ht="12.75">
      <c r="A248" s="540"/>
      <c r="B248" s="541"/>
      <c r="C248" s="542"/>
      <c r="D248" s="543"/>
      <c r="E248" s="543"/>
      <c r="F248" s="543"/>
      <c r="G248" s="543"/>
      <c r="H248" s="543"/>
      <c r="I248" s="543"/>
      <c r="J248" s="543"/>
    </row>
    <row r="249" spans="1:10" ht="12.75">
      <c r="A249" s="540"/>
      <c r="B249" s="541"/>
      <c r="C249" s="542"/>
      <c r="D249" s="543"/>
      <c r="E249" s="543"/>
      <c r="F249" s="543"/>
      <c r="G249" s="543"/>
      <c r="H249" s="543"/>
      <c r="I249" s="543"/>
      <c r="J249" s="543"/>
    </row>
    <row r="250" spans="1:10" ht="12.75">
      <c r="A250" s="540"/>
      <c r="B250" s="541"/>
      <c r="C250" s="542"/>
      <c r="D250" s="543"/>
      <c r="E250" s="543"/>
      <c r="F250" s="543"/>
      <c r="G250" s="543"/>
      <c r="H250" s="543"/>
      <c r="I250" s="543"/>
      <c r="J250" s="543"/>
    </row>
    <row r="251" spans="1:10" ht="12.75">
      <c r="A251" s="540"/>
      <c r="B251" s="541"/>
      <c r="C251" s="542"/>
      <c r="D251" s="543"/>
      <c r="E251" s="543"/>
      <c r="F251" s="543"/>
      <c r="G251" s="543"/>
      <c r="H251" s="543"/>
      <c r="I251" s="543"/>
      <c r="J251" s="543"/>
    </row>
    <row r="252" spans="1:10" ht="12.75">
      <c r="A252" s="540"/>
      <c r="B252" s="541"/>
      <c r="C252" s="542"/>
      <c r="D252" s="543"/>
      <c r="E252" s="543"/>
      <c r="F252" s="543"/>
      <c r="G252" s="543"/>
      <c r="H252" s="543"/>
      <c r="I252" s="543"/>
      <c r="J252" s="543"/>
    </row>
    <row r="253" spans="2:10" ht="12.75">
      <c r="B253" s="456"/>
      <c r="C253" s="457"/>
      <c r="D253" s="458"/>
      <c r="E253" s="458"/>
      <c r="F253" s="458"/>
      <c r="G253" s="458"/>
      <c r="H253" s="458"/>
      <c r="I253" s="458"/>
      <c r="J253" s="458"/>
    </row>
    <row r="254" spans="6:7" ht="12.75">
      <c r="F254" s="180"/>
      <c r="G254" s="180"/>
    </row>
    <row r="255" spans="1:10" ht="12.75">
      <c r="A255" s="223" t="s">
        <v>561</v>
      </c>
      <c r="B255" s="223"/>
      <c r="C255" s="389"/>
      <c r="D255" s="389" t="s">
        <v>576</v>
      </c>
      <c r="E255" s="389"/>
      <c r="F255" s="113"/>
      <c r="G255" s="113"/>
      <c r="H255" s="544" t="s">
        <v>575</v>
      </c>
      <c r="I255" s="11"/>
      <c r="J255" s="11"/>
    </row>
    <row r="256" spans="1:10" ht="33.75">
      <c r="A256" s="435" t="s">
        <v>399</v>
      </c>
      <c r="B256" s="435" t="s">
        <v>400</v>
      </c>
      <c r="C256" s="167" t="s">
        <v>401</v>
      </c>
      <c r="D256" s="123" t="s">
        <v>562</v>
      </c>
      <c r="E256" s="167" t="s">
        <v>402</v>
      </c>
      <c r="F256" s="167" t="s">
        <v>403</v>
      </c>
      <c r="G256" s="167"/>
      <c r="H256" s="438" t="s">
        <v>397</v>
      </c>
      <c r="I256" s="439" t="s">
        <v>404</v>
      </c>
      <c r="J256" s="636"/>
    </row>
    <row r="257" spans="1:11" ht="12.75">
      <c r="A257" s="428">
        <v>7330</v>
      </c>
      <c r="B257" s="427" t="s">
        <v>396</v>
      </c>
      <c r="C257" s="440">
        <f aca="true" t="shared" si="13" ref="C257:C267">E257+F257+H257+I257</f>
        <v>13978350</v>
      </c>
      <c r="D257" s="549">
        <v>13978350</v>
      </c>
      <c r="E257" s="548">
        <v>13978350</v>
      </c>
      <c r="F257" s="548"/>
      <c r="G257" s="548"/>
      <c r="H257" s="552"/>
      <c r="I257" s="552"/>
      <c r="J257" s="599"/>
      <c r="K257" s="132">
        <f>SUM(E257:I257)</f>
        <v>13978350</v>
      </c>
    </row>
    <row r="258" spans="1:11" ht="12.75">
      <c r="A258" s="428">
        <v>7400</v>
      </c>
      <c r="B258" s="427" t="s">
        <v>397</v>
      </c>
      <c r="C258" s="440">
        <f t="shared" si="13"/>
        <v>2000000</v>
      </c>
      <c r="D258" s="549">
        <v>2000000</v>
      </c>
      <c r="E258" s="548"/>
      <c r="F258" s="548"/>
      <c r="G258" s="548"/>
      <c r="H258" s="546">
        <v>2000000</v>
      </c>
      <c r="I258" s="552"/>
      <c r="J258" s="599"/>
      <c r="K258" s="132"/>
    </row>
    <row r="259" spans="1:11" ht="12.75">
      <c r="A259" s="428">
        <v>7410</v>
      </c>
      <c r="B259" s="427" t="s">
        <v>405</v>
      </c>
      <c r="C259" s="440">
        <f t="shared" si="13"/>
        <v>700000</v>
      </c>
      <c r="D259" s="549">
        <v>700000</v>
      </c>
      <c r="E259" s="548"/>
      <c r="F259" s="548"/>
      <c r="G259" s="548"/>
      <c r="H259" s="546"/>
      <c r="I259" s="576">
        <v>700000</v>
      </c>
      <c r="J259" s="646"/>
      <c r="K259" s="132"/>
    </row>
    <row r="260" spans="1:11" ht="12.75">
      <c r="A260" s="158">
        <v>74212101</v>
      </c>
      <c r="B260" s="158" t="s">
        <v>140</v>
      </c>
      <c r="C260" s="443">
        <f t="shared" si="13"/>
        <v>1760000</v>
      </c>
      <c r="D260" s="557"/>
      <c r="E260" s="551"/>
      <c r="F260" s="551"/>
      <c r="G260" s="551"/>
      <c r="H260" s="552"/>
      <c r="I260" s="577">
        <v>1760000</v>
      </c>
      <c r="J260" s="647"/>
      <c r="K260" s="132"/>
    </row>
    <row r="261" spans="1:11" ht="12.75">
      <c r="A261" s="99">
        <v>74212102</v>
      </c>
      <c r="B261" s="99" t="s">
        <v>142</v>
      </c>
      <c r="C261" s="443">
        <f t="shared" si="13"/>
        <v>14400000</v>
      </c>
      <c r="D261" s="557"/>
      <c r="E261" s="551"/>
      <c r="F261" s="551"/>
      <c r="G261" s="551"/>
      <c r="H261" s="552"/>
      <c r="I261" s="551">
        <v>14400000</v>
      </c>
      <c r="J261" s="647"/>
      <c r="K261" s="132"/>
    </row>
    <row r="262" spans="1:11" ht="12.75">
      <c r="A262" s="99">
        <v>74212111</v>
      </c>
      <c r="B262" s="99" t="s">
        <v>141</v>
      </c>
      <c r="C262" s="443">
        <f t="shared" si="13"/>
        <v>500000</v>
      </c>
      <c r="D262" s="557"/>
      <c r="E262" s="551"/>
      <c r="F262" s="551"/>
      <c r="G262" s="551"/>
      <c r="H262" s="552"/>
      <c r="I262" s="551">
        <v>500000</v>
      </c>
      <c r="J262" s="647"/>
      <c r="K262" s="132"/>
    </row>
    <row r="263" spans="1:11" ht="12.75">
      <c r="A263" s="99">
        <v>74212112</v>
      </c>
      <c r="B263" s="99" t="s">
        <v>143</v>
      </c>
      <c r="C263" s="443">
        <f t="shared" si="13"/>
        <v>500000</v>
      </c>
      <c r="D263" s="557"/>
      <c r="E263" s="551"/>
      <c r="F263" s="551"/>
      <c r="G263" s="551"/>
      <c r="H263" s="552"/>
      <c r="I263" s="551">
        <v>500000</v>
      </c>
      <c r="J263" s="647"/>
      <c r="K263" s="132"/>
    </row>
    <row r="264" spans="1:11" ht="12.75">
      <c r="A264" s="99">
        <v>7421216</v>
      </c>
      <c r="B264" s="99" t="s">
        <v>145</v>
      </c>
      <c r="C264" s="443">
        <f t="shared" si="13"/>
        <v>1320000</v>
      </c>
      <c r="D264" s="557"/>
      <c r="E264" s="551"/>
      <c r="F264" s="551"/>
      <c r="G264" s="551"/>
      <c r="H264" s="552"/>
      <c r="I264" s="551">
        <v>1320000</v>
      </c>
      <c r="J264" s="647"/>
      <c r="K264" s="132"/>
    </row>
    <row r="265" spans="1:11" ht="12.75">
      <c r="A265" s="99">
        <v>7421217</v>
      </c>
      <c r="B265" s="99" t="s">
        <v>146</v>
      </c>
      <c r="C265" s="443">
        <v>34732000</v>
      </c>
      <c r="D265" s="557"/>
      <c r="E265" s="551"/>
      <c r="F265" s="551"/>
      <c r="G265" s="551"/>
      <c r="H265" s="552"/>
      <c r="I265" s="551">
        <v>36100000</v>
      </c>
      <c r="J265" s="647"/>
      <c r="K265" s="132"/>
    </row>
    <row r="266" spans="1:11" ht="12.75">
      <c r="A266" s="99">
        <v>74212171</v>
      </c>
      <c r="B266" s="99" t="s">
        <v>147</v>
      </c>
      <c r="C266" s="443">
        <v>9240000</v>
      </c>
      <c r="D266" s="557"/>
      <c r="E266" s="551"/>
      <c r="F266" s="551"/>
      <c r="G266" s="551"/>
      <c r="H266" s="552"/>
      <c r="I266" s="556">
        <v>7000000</v>
      </c>
      <c r="J266" s="598"/>
      <c r="K266" s="132"/>
    </row>
    <row r="267" spans="1:11" ht="12.75">
      <c r="A267" s="99">
        <v>742161</v>
      </c>
      <c r="B267" s="99" t="s">
        <v>148</v>
      </c>
      <c r="C267" s="443">
        <f t="shared" si="13"/>
        <v>320000</v>
      </c>
      <c r="D267" s="557"/>
      <c r="E267" s="551"/>
      <c r="F267" s="551"/>
      <c r="G267" s="551"/>
      <c r="H267" s="552"/>
      <c r="I267" s="551">
        <v>320000</v>
      </c>
      <c r="J267" s="647"/>
      <c r="K267" s="132"/>
    </row>
    <row r="268" spans="1:11" ht="12.75">
      <c r="A268" s="137">
        <v>7421</v>
      </c>
      <c r="B268" s="137" t="s">
        <v>149</v>
      </c>
      <c r="C268" s="440">
        <v>61772000</v>
      </c>
      <c r="D268" s="549">
        <v>61400000</v>
      </c>
      <c r="E268" s="551"/>
      <c r="F268" s="553"/>
      <c r="G268" s="553"/>
      <c r="H268" s="552"/>
      <c r="I268" s="546">
        <f>I260+I261+I262+I263+I264+I265+I266+I267</f>
        <v>61900000</v>
      </c>
      <c r="J268" s="646"/>
      <c r="K268" s="132"/>
    </row>
    <row r="269" spans="1:11" ht="12.75">
      <c r="A269" s="137">
        <v>7451</v>
      </c>
      <c r="B269" s="137" t="s">
        <v>151</v>
      </c>
      <c r="C269" s="440">
        <v>1200000</v>
      </c>
      <c r="D269" s="549">
        <v>1200000</v>
      </c>
      <c r="E269" s="551"/>
      <c r="F269" s="553"/>
      <c r="G269" s="553"/>
      <c r="H269" s="552"/>
      <c r="I269" s="546">
        <v>1200000</v>
      </c>
      <c r="J269" s="646"/>
      <c r="K269" s="132"/>
    </row>
    <row r="270" spans="1:11" ht="12.75">
      <c r="A270" s="99">
        <v>7711111</v>
      </c>
      <c r="B270" s="99" t="s">
        <v>152</v>
      </c>
      <c r="C270" s="443">
        <v>6320000</v>
      </c>
      <c r="D270" s="557">
        <v>6500000</v>
      </c>
      <c r="E270" s="551">
        <v>6500000</v>
      </c>
      <c r="F270" s="553"/>
      <c r="G270" s="553"/>
      <c r="H270" s="552"/>
      <c r="I270" s="552"/>
      <c r="J270" s="599"/>
      <c r="K270" s="132"/>
    </row>
    <row r="271" spans="1:11" ht="12.75">
      <c r="A271" s="99">
        <v>7711112</v>
      </c>
      <c r="B271" s="99" t="s">
        <v>153</v>
      </c>
      <c r="C271" s="443">
        <v>930000</v>
      </c>
      <c r="D271" s="557">
        <v>1000000</v>
      </c>
      <c r="E271" s="552"/>
      <c r="F271" s="552">
        <v>1000000</v>
      </c>
      <c r="G271" s="552"/>
      <c r="H271" s="552"/>
      <c r="I271" s="552"/>
      <c r="J271" s="599"/>
      <c r="K271" s="132"/>
    </row>
    <row r="272" spans="1:11" ht="12.75">
      <c r="A272" s="99"/>
      <c r="B272" s="99" t="s">
        <v>568</v>
      </c>
      <c r="C272" s="443"/>
      <c r="D272" s="557">
        <v>300000</v>
      </c>
      <c r="E272" s="552">
        <v>300000</v>
      </c>
      <c r="F272" s="552"/>
      <c r="G272" s="552"/>
      <c r="H272" s="552"/>
      <c r="I272" s="552"/>
      <c r="J272" s="599"/>
      <c r="K272" s="132"/>
    </row>
    <row r="273" spans="1:11" ht="12.75">
      <c r="A273" s="137">
        <v>7711</v>
      </c>
      <c r="B273" s="137" t="s">
        <v>154</v>
      </c>
      <c r="C273" s="440">
        <f>SUM(C270:C271)</f>
        <v>7250000</v>
      </c>
      <c r="D273" s="549">
        <f>SUM(D270:D272)</f>
        <v>7800000</v>
      </c>
      <c r="E273" s="548">
        <f>SUM(E270:E272)</f>
        <v>6800000</v>
      </c>
      <c r="F273" s="548">
        <f>SUM(F270:F271)</f>
        <v>1000000</v>
      </c>
      <c r="G273" s="548"/>
      <c r="H273" s="548">
        <f>SUM(H270:H271)</f>
        <v>0</v>
      </c>
      <c r="I273" s="548">
        <f>SUM(I270:I271)</f>
        <v>0</v>
      </c>
      <c r="J273" s="648"/>
      <c r="K273" s="132"/>
    </row>
    <row r="274" spans="1:11" ht="12.75">
      <c r="A274" s="137">
        <v>7721</v>
      </c>
      <c r="B274" s="137" t="s">
        <v>569</v>
      </c>
      <c r="C274" s="440"/>
      <c r="D274" s="549">
        <v>602000</v>
      </c>
      <c r="E274" s="548">
        <v>602000</v>
      </c>
      <c r="F274" s="548"/>
      <c r="G274" s="548"/>
      <c r="H274" s="548"/>
      <c r="I274" s="548"/>
      <c r="J274" s="648"/>
      <c r="K274" s="132"/>
    </row>
    <row r="275" spans="1:11" ht="12.75">
      <c r="A275" s="137">
        <v>7810</v>
      </c>
      <c r="B275" s="430" t="s">
        <v>371</v>
      </c>
      <c r="C275" s="440">
        <f aca="true" t="shared" si="14" ref="C275:C286">E275+F275+H275+I275</f>
        <v>8092000</v>
      </c>
      <c r="D275" s="549">
        <v>8092000</v>
      </c>
      <c r="E275" s="551"/>
      <c r="F275" s="553"/>
      <c r="G275" s="553"/>
      <c r="H275" s="552"/>
      <c r="I275" s="546">
        <v>8092000</v>
      </c>
      <c r="J275" s="646"/>
      <c r="K275" s="132"/>
    </row>
    <row r="276" spans="1:11" ht="12.75">
      <c r="A276" s="143">
        <v>7811110101</v>
      </c>
      <c r="B276" s="99" t="s">
        <v>155</v>
      </c>
      <c r="C276" s="443">
        <f t="shared" si="14"/>
        <v>392673000</v>
      </c>
      <c r="D276" s="557">
        <v>392673000</v>
      </c>
      <c r="E276" s="551"/>
      <c r="F276" s="552">
        <v>392673000</v>
      </c>
      <c r="G276" s="552"/>
      <c r="H276" s="552"/>
      <c r="I276" s="552"/>
      <c r="J276" s="599"/>
      <c r="K276" s="132"/>
    </row>
    <row r="277" spans="1:11" ht="12.75">
      <c r="A277" s="143">
        <v>7811110102</v>
      </c>
      <c r="B277" s="99" t="s">
        <v>156</v>
      </c>
      <c r="C277" s="443">
        <f t="shared" si="14"/>
        <v>6545000</v>
      </c>
      <c r="D277" s="557">
        <v>6545000</v>
      </c>
      <c r="E277" s="551"/>
      <c r="F277" s="552">
        <v>6545000</v>
      </c>
      <c r="G277" s="552"/>
      <c r="H277" s="552"/>
      <c r="I277" s="552"/>
      <c r="J277" s="599"/>
      <c r="K277" s="132"/>
    </row>
    <row r="278" spans="1:11" ht="12.75">
      <c r="A278" s="143">
        <v>7811110103</v>
      </c>
      <c r="B278" s="99" t="s">
        <v>157</v>
      </c>
      <c r="C278" s="443">
        <f t="shared" si="14"/>
        <v>29615000</v>
      </c>
      <c r="D278" s="557">
        <v>29615000</v>
      </c>
      <c r="E278" s="551"/>
      <c r="F278" s="552">
        <v>29615000</v>
      </c>
      <c r="G278" s="552"/>
      <c r="H278" s="552"/>
      <c r="I278" s="552"/>
      <c r="J278" s="599"/>
      <c r="K278" s="132"/>
    </row>
    <row r="279" spans="1:11" ht="12.75">
      <c r="A279" s="143">
        <v>7811110104</v>
      </c>
      <c r="B279" s="99" t="s">
        <v>158</v>
      </c>
      <c r="C279" s="443">
        <f t="shared" si="14"/>
        <v>19399000</v>
      </c>
      <c r="D279" s="557">
        <v>19399000</v>
      </c>
      <c r="E279" s="551"/>
      <c r="F279" s="552">
        <f>27228000-7829000</f>
        <v>19399000</v>
      </c>
      <c r="G279" s="552"/>
      <c r="H279" s="552"/>
      <c r="I279" s="552"/>
      <c r="J279" s="599"/>
      <c r="K279" s="132"/>
    </row>
    <row r="280" spans="1:11" ht="12.75">
      <c r="A280" s="143">
        <v>7811110105</v>
      </c>
      <c r="B280" s="99" t="s">
        <v>159</v>
      </c>
      <c r="C280" s="443">
        <f t="shared" si="14"/>
        <v>11028000</v>
      </c>
      <c r="D280" s="557">
        <v>11028000</v>
      </c>
      <c r="E280" s="551"/>
      <c r="F280" s="552">
        <v>11028000</v>
      </c>
      <c r="G280" s="552"/>
      <c r="H280" s="552"/>
      <c r="I280" s="552"/>
      <c r="J280" s="599"/>
      <c r="K280" s="132"/>
    </row>
    <row r="281" spans="1:11" ht="12.75">
      <c r="A281" s="143">
        <v>7811110106</v>
      </c>
      <c r="B281" s="99" t="s">
        <v>160</v>
      </c>
      <c r="C281" s="443">
        <f t="shared" si="14"/>
        <v>10051000</v>
      </c>
      <c r="D281" s="557">
        <v>10051000</v>
      </c>
      <c r="E281" s="551"/>
      <c r="F281" s="552">
        <v>10051000</v>
      </c>
      <c r="G281" s="552"/>
      <c r="H281" s="552"/>
      <c r="I281" s="552"/>
      <c r="J281" s="599"/>
      <c r="K281" s="132"/>
    </row>
    <row r="282" spans="1:11" ht="12.75">
      <c r="A282" s="143">
        <v>781111013</v>
      </c>
      <c r="B282" s="99" t="s">
        <v>161</v>
      </c>
      <c r="C282" s="443">
        <v>47702000</v>
      </c>
      <c r="D282" s="557">
        <v>48256000</v>
      </c>
      <c r="E282" s="551"/>
      <c r="F282" s="552">
        <v>48256000</v>
      </c>
      <c r="G282" s="552"/>
      <c r="H282" s="552"/>
      <c r="I282" s="552"/>
      <c r="J282" s="599"/>
      <c r="K282" s="132"/>
    </row>
    <row r="283" spans="1:11" ht="12.75">
      <c r="A283" s="143"/>
      <c r="B283" s="99" t="s">
        <v>567</v>
      </c>
      <c r="C283" s="443"/>
      <c r="D283" s="557">
        <v>2050000</v>
      </c>
      <c r="E283" s="551"/>
      <c r="F283" s="552">
        <v>2050000</v>
      </c>
      <c r="G283" s="552"/>
      <c r="H283" s="552"/>
      <c r="I283" s="552"/>
      <c r="J283" s="599"/>
      <c r="K283" s="132"/>
    </row>
    <row r="284" spans="1:11" ht="12.75">
      <c r="A284" s="143"/>
      <c r="B284" s="434" t="s">
        <v>406</v>
      </c>
      <c r="C284" s="446">
        <v>517013000</v>
      </c>
      <c r="D284" s="549">
        <v>519617000</v>
      </c>
      <c r="E284" s="551"/>
      <c r="F284" s="546">
        <f>SUM(F276:F283)</f>
        <v>519617000</v>
      </c>
      <c r="G284" s="546"/>
      <c r="H284" s="552"/>
      <c r="I284" s="552"/>
      <c r="J284" s="599"/>
      <c r="K284" s="132"/>
    </row>
    <row r="285" spans="1:11" ht="22.5">
      <c r="A285" s="444">
        <v>7810</v>
      </c>
      <c r="B285" s="126" t="s">
        <v>574</v>
      </c>
      <c r="C285" s="440">
        <v>8608000</v>
      </c>
      <c r="D285" s="549">
        <v>13500000</v>
      </c>
      <c r="E285" s="551"/>
      <c r="F285" s="553">
        <v>13500000</v>
      </c>
      <c r="G285" s="553"/>
      <c r="H285" s="552"/>
      <c r="I285" s="552"/>
      <c r="J285" s="599"/>
      <c r="K285" s="132"/>
    </row>
    <row r="286" spans="1:11" ht="12.75">
      <c r="A286" s="445">
        <v>8120</v>
      </c>
      <c r="B286" s="430" t="s">
        <v>429</v>
      </c>
      <c r="C286" s="440">
        <f t="shared" si="14"/>
        <v>30000</v>
      </c>
      <c r="D286" s="549">
        <v>30000</v>
      </c>
      <c r="E286" s="551"/>
      <c r="F286" s="553"/>
      <c r="G286" s="553"/>
      <c r="H286" s="552"/>
      <c r="I286" s="546">
        <v>30000</v>
      </c>
      <c r="J286" s="646"/>
      <c r="K286" s="132"/>
    </row>
    <row r="287" spans="1:11" ht="12.75">
      <c r="A287" s="445">
        <v>7911</v>
      </c>
      <c r="B287" s="137" t="s">
        <v>570</v>
      </c>
      <c r="C287" s="440"/>
      <c r="D287" s="549">
        <v>316800</v>
      </c>
      <c r="E287" s="554">
        <v>316800</v>
      </c>
      <c r="F287" s="553"/>
      <c r="G287" s="553"/>
      <c r="H287" s="552"/>
      <c r="I287" s="546"/>
      <c r="J287" s="646"/>
      <c r="K287" s="132"/>
    </row>
    <row r="288" spans="1:11" ht="12.75">
      <c r="A288" s="145"/>
      <c r="B288" s="547" t="s">
        <v>351</v>
      </c>
      <c r="C288" s="548">
        <f>C285+C284+C273+C269+C268+C259+C258+C257+C275+C286</f>
        <v>620643350</v>
      </c>
      <c r="D288" s="549">
        <f>D285+D284+D287+D274+D273+D269+D268+D259+D258+D257+D275+D286</f>
        <v>629236150</v>
      </c>
      <c r="E288" s="550">
        <f>E287+E274+E273+E257</f>
        <v>21697150</v>
      </c>
      <c r="F288" s="550">
        <f>F285+F284+F273</f>
        <v>534117000</v>
      </c>
      <c r="G288" s="550"/>
      <c r="H288" s="550">
        <f>H285+H284+H273+H269+H268+H259+H258+H257+H275+H286</f>
        <v>2000000</v>
      </c>
      <c r="I288" s="550">
        <f>I286+I285+I275+I269+I259+I268</f>
        <v>71922000</v>
      </c>
      <c r="J288" s="649"/>
      <c r="K288" s="81"/>
    </row>
    <row r="289" spans="1:11" ht="22.5">
      <c r="A289" s="145"/>
      <c r="B289" s="447" t="s">
        <v>428</v>
      </c>
      <c r="C289" s="443">
        <f>E289+F289+H289+I289</f>
        <v>14350000</v>
      </c>
      <c r="D289" s="557">
        <v>14350000</v>
      </c>
      <c r="E289" s="552"/>
      <c r="F289" s="552"/>
      <c r="G289" s="552"/>
      <c r="H289" s="552"/>
      <c r="I289" s="552">
        <v>14350000</v>
      </c>
      <c r="J289" s="599"/>
      <c r="K289" s="479"/>
    </row>
    <row r="290" spans="1:10" ht="22.5">
      <c r="A290" s="145"/>
      <c r="B290" s="450" t="s">
        <v>408</v>
      </c>
      <c r="C290" s="446">
        <f aca="true" t="shared" si="15" ref="C290:I290">SUM(C288:C289)</f>
        <v>634993350</v>
      </c>
      <c r="D290" s="549">
        <f t="shared" si="15"/>
        <v>643586150</v>
      </c>
      <c r="E290" s="578">
        <f t="shared" si="15"/>
        <v>21697150</v>
      </c>
      <c r="F290" s="578">
        <f t="shared" si="15"/>
        <v>534117000</v>
      </c>
      <c r="G290" s="578"/>
      <c r="H290" s="578">
        <f t="shared" si="15"/>
        <v>2000000</v>
      </c>
      <c r="I290" s="578">
        <f t="shared" si="15"/>
        <v>86272000</v>
      </c>
      <c r="J290" s="650"/>
    </row>
    <row r="291" spans="1:8" ht="12.75">
      <c r="A291" s="18"/>
      <c r="B291" s="15" t="s">
        <v>395</v>
      </c>
      <c r="C291" s="15"/>
      <c r="D291" s="71"/>
      <c r="E291" s="15"/>
      <c r="F291" s="91" t="s">
        <v>221</v>
      </c>
      <c r="G291" s="91"/>
      <c r="H291" s="433" t="s">
        <v>438</v>
      </c>
    </row>
    <row r="292" spans="1:10" ht="33.75">
      <c r="A292" s="435" t="s">
        <v>399</v>
      </c>
      <c r="B292" s="435" t="s">
        <v>400</v>
      </c>
      <c r="C292" s="167" t="s">
        <v>401</v>
      </c>
      <c r="D292" s="123" t="s">
        <v>562</v>
      </c>
      <c r="E292" s="167" t="s">
        <v>402</v>
      </c>
      <c r="F292" s="167" t="s">
        <v>403</v>
      </c>
      <c r="G292" s="167"/>
      <c r="H292" s="438" t="s">
        <v>397</v>
      </c>
      <c r="I292" s="439" t="s">
        <v>404</v>
      </c>
      <c r="J292" s="636"/>
    </row>
    <row r="293" spans="1:11" ht="12.75">
      <c r="A293" s="555"/>
      <c r="B293" s="553" t="s">
        <v>255</v>
      </c>
      <c r="C293" s="546">
        <v>456333000</v>
      </c>
      <c r="D293" s="549">
        <v>473000000</v>
      </c>
      <c r="E293" s="546"/>
      <c r="F293" s="546">
        <f>440000000+222622</f>
        <v>440222622</v>
      </c>
      <c r="G293" s="546"/>
      <c r="H293" s="546"/>
      <c r="I293" s="546">
        <f>D293-F293</f>
        <v>32777378</v>
      </c>
      <c r="J293" s="646"/>
      <c r="K293" s="180"/>
    </row>
    <row r="294" spans="1:11" ht="22.5">
      <c r="A294" s="555">
        <v>4130</v>
      </c>
      <c r="B294" s="559" t="s">
        <v>563</v>
      </c>
      <c r="C294" s="546">
        <v>180000</v>
      </c>
      <c r="D294" s="549">
        <v>680000</v>
      </c>
      <c r="E294" s="560"/>
      <c r="F294" s="546"/>
      <c r="G294" s="546"/>
      <c r="H294" s="546"/>
      <c r="I294" s="546">
        <v>680000</v>
      </c>
      <c r="J294" s="646"/>
      <c r="K294" s="180"/>
    </row>
    <row r="295" spans="1:11" ht="12.75">
      <c r="A295" s="555">
        <v>4140</v>
      </c>
      <c r="B295" s="553" t="s">
        <v>411</v>
      </c>
      <c r="C295" s="546">
        <v>7450000</v>
      </c>
      <c r="D295" s="549">
        <v>8250000</v>
      </c>
      <c r="E295" s="561">
        <v>6800000</v>
      </c>
      <c r="F295" s="553">
        <v>1000000</v>
      </c>
      <c r="G295" s="553"/>
      <c r="H295" s="552"/>
      <c r="I295" s="554">
        <v>450000</v>
      </c>
      <c r="J295" s="554"/>
      <c r="K295" s="545">
        <f>SUM(E295:I295)</f>
        <v>8250000</v>
      </c>
    </row>
    <row r="296" spans="1:11" ht="22.5">
      <c r="A296" s="555">
        <v>4150</v>
      </c>
      <c r="B296" s="548" t="s">
        <v>410</v>
      </c>
      <c r="C296" s="546">
        <v>7109000</v>
      </c>
      <c r="D296" s="549">
        <v>8800000</v>
      </c>
      <c r="E296" s="561"/>
      <c r="F296" s="553">
        <f>6545000+312000</f>
        <v>6857000</v>
      </c>
      <c r="G296" s="553"/>
      <c r="H296" s="552"/>
      <c r="I296" s="554">
        <f>D296-F296</f>
        <v>1943000</v>
      </c>
      <c r="J296" s="651"/>
      <c r="K296" s="132">
        <f>SUM(E296:I296)</f>
        <v>8800000</v>
      </c>
    </row>
    <row r="297" spans="1:11" ht="22.5">
      <c r="A297" s="555">
        <v>4160</v>
      </c>
      <c r="B297" s="548" t="s">
        <v>412</v>
      </c>
      <c r="C297" s="546">
        <v>9328000</v>
      </c>
      <c r="D297" s="549">
        <v>15000000</v>
      </c>
      <c r="E297" s="561"/>
      <c r="F297" s="553">
        <v>13500000</v>
      </c>
      <c r="G297" s="553"/>
      <c r="H297" s="552"/>
      <c r="I297" s="554">
        <v>1500000</v>
      </c>
      <c r="J297" s="651"/>
      <c r="K297" s="132">
        <f aca="true" t="shared" si="16" ref="K297:K337">SUM(E297:I297)</f>
        <v>15000000</v>
      </c>
    </row>
    <row r="298" spans="1:11" ht="12.75">
      <c r="A298" s="555">
        <v>4210</v>
      </c>
      <c r="B298" s="548" t="s">
        <v>413</v>
      </c>
      <c r="C298" s="553">
        <v>20300000</v>
      </c>
      <c r="D298" s="549">
        <f>D299+D300+D301+D302+D303+D304</f>
        <v>24900000</v>
      </c>
      <c r="E298" s="561"/>
      <c r="F298" s="553">
        <f>F299+F300+F301+F302+F303+F304</f>
        <v>21667000</v>
      </c>
      <c r="G298" s="553"/>
      <c r="H298" s="552"/>
      <c r="I298" s="546">
        <f>I299+I300+I301+I302+I303+I304</f>
        <v>3233000</v>
      </c>
      <c r="J298" s="646"/>
      <c r="K298" s="132">
        <f t="shared" si="16"/>
        <v>24900000</v>
      </c>
    </row>
    <row r="299" spans="1:11" ht="12.75">
      <c r="A299" s="562">
        <v>4211</v>
      </c>
      <c r="B299" s="556" t="s">
        <v>101</v>
      </c>
      <c r="C299" s="552">
        <v>1600000</v>
      </c>
      <c r="D299" s="557">
        <v>1900000</v>
      </c>
      <c r="E299" s="558"/>
      <c r="F299" s="556">
        <v>1200000</v>
      </c>
      <c r="G299" s="556"/>
      <c r="H299" s="552"/>
      <c r="I299" s="552">
        <f>D299-F299</f>
        <v>700000</v>
      </c>
      <c r="J299" s="599"/>
      <c r="K299" s="132">
        <f t="shared" si="16"/>
        <v>1900000</v>
      </c>
    </row>
    <row r="300" spans="1:11" ht="12.75">
      <c r="A300" s="562">
        <v>4212</v>
      </c>
      <c r="B300" s="556" t="s">
        <v>102</v>
      </c>
      <c r="C300" s="552">
        <v>11000000</v>
      </c>
      <c r="D300" s="557">
        <v>15000000</v>
      </c>
      <c r="E300" s="558"/>
      <c r="F300" s="556">
        <v>15000000</v>
      </c>
      <c r="G300" s="556"/>
      <c r="H300" s="552"/>
      <c r="I300" s="552">
        <f>D300-F300</f>
        <v>0</v>
      </c>
      <c r="J300" s="599"/>
      <c r="K300" s="132">
        <f t="shared" si="16"/>
        <v>15000000</v>
      </c>
    </row>
    <row r="301" spans="1:11" ht="12.75">
      <c r="A301" s="562">
        <v>4213</v>
      </c>
      <c r="B301" s="556" t="s">
        <v>103</v>
      </c>
      <c r="C301" s="552">
        <v>3700000</v>
      </c>
      <c r="D301" s="557">
        <v>3900000</v>
      </c>
      <c r="E301" s="558"/>
      <c r="F301" s="556">
        <v>2667000</v>
      </c>
      <c r="G301" s="556"/>
      <c r="H301" s="552"/>
      <c r="I301" s="552">
        <v>1233000</v>
      </c>
      <c r="J301" s="599"/>
      <c r="K301" s="132">
        <f t="shared" si="16"/>
        <v>3900000</v>
      </c>
    </row>
    <row r="302" spans="1:11" ht="12.75">
      <c r="A302" s="562">
        <v>4214</v>
      </c>
      <c r="B302" s="556" t="s">
        <v>104</v>
      </c>
      <c r="C302" s="552">
        <v>1400000</v>
      </c>
      <c r="D302" s="557">
        <v>1800000</v>
      </c>
      <c r="E302" s="558"/>
      <c r="F302" s="556">
        <v>800000</v>
      </c>
      <c r="G302" s="556"/>
      <c r="H302" s="552"/>
      <c r="I302" s="552">
        <f>D302-F302</f>
        <v>1000000</v>
      </c>
      <c r="J302" s="599"/>
      <c r="K302" s="132">
        <f t="shared" si="16"/>
        <v>1800000</v>
      </c>
    </row>
    <row r="303" spans="1:11" ht="12.75">
      <c r="A303" s="562">
        <v>4215</v>
      </c>
      <c r="B303" s="556" t="s">
        <v>169</v>
      </c>
      <c r="C303" s="552">
        <v>2600000</v>
      </c>
      <c r="D303" s="557">
        <v>2000000</v>
      </c>
      <c r="E303" s="558"/>
      <c r="F303" s="556">
        <v>2000000</v>
      </c>
      <c r="G303" s="556"/>
      <c r="H303" s="552"/>
      <c r="I303" s="552">
        <f>D303-F303</f>
        <v>0</v>
      </c>
      <c r="J303" s="599"/>
      <c r="K303" s="132">
        <f t="shared" si="16"/>
        <v>2000000</v>
      </c>
    </row>
    <row r="304" spans="1:11" ht="12.75">
      <c r="A304" s="563">
        <v>4220</v>
      </c>
      <c r="B304" s="551" t="s">
        <v>414</v>
      </c>
      <c r="C304" s="551">
        <f>E304+F304+H304+I304</f>
        <v>300000</v>
      </c>
      <c r="D304" s="557">
        <v>300000</v>
      </c>
      <c r="E304" s="564"/>
      <c r="F304" s="551"/>
      <c r="G304" s="551"/>
      <c r="H304" s="551"/>
      <c r="I304" s="552">
        <f>D304-F304</f>
        <v>300000</v>
      </c>
      <c r="J304" s="599"/>
      <c r="K304" s="132">
        <f t="shared" si="16"/>
        <v>300000</v>
      </c>
    </row>
    <row r="305" spans="1:11" ht="12.75">
      <c r="A305" s="555">
        <v>4230</v>
      </c>
      <c r="B305" s="546" t="s">
        <v>415</v>
      </c>
      <c r="C305" s="553">
        <v>9600000</v>
      </c>
      <c r="D305" s="549">
        <f>D306+D307+D308+D309+D310+D311+D312</f>
        <v>9750000</v>
      </c>
      <c r="E305" s="560"/>
      <c r="F305" s="546">
        <f>F306+F307+F308+F309+F310+F311+F312</f>
        <v>1400000</v>
      </c>
      <c r="G305" s="546"/>
      <c r="H305" s="546"/>
      <c r="I305" s="546">
        <f>I306+I307+I308+I309+I310+I311+I312</f>
        <v>8350000</v>
      </c>
      <c r="J305" s="646"/>
      <c r="K305" s="132">
        <f t="shared" si="16"/>
        <v>9750000</v>
      </c>
    </row>
    <row r="306" spans="1:11" ht="12.75">
      <c r="A306" s="555">
        <v>4232</v>
      </c>
      <c r="B306" s="556" t="s">
        <v>106</v>
      </c>
      <c r="C306" s="552">
        <v>420000</v>
      </c>
      <c r="D306" s="557">
        <v>600000</v>
      </c>
      <c r="E306" s="558"/>
      <c r="F306" s="556">
        <v>320000</v>
      </c>
      <c r="G306" s="556"/>
      <c r="H306" s="552"/>
      <c r="I306" s="552">
        <f>D306-F306</f>
        <v>280000</v>
      </c>
      <c r="J306" s="599"/>
      <c r="K306" s="132">
        <f t="shared" si="16"/>
        <v>600000</v>
      </c>
    </row>
    <row r="307" spans="1:11" ht="12.75">
      <c r="A307" s="555">
        <v>4233</v>
      </c>
      <c r="B307" s="556" t="s">
        <v>107</v>
      </c>
      <c r="C307" s="552">
        <f>E307+F307+H307+I307</f>
        <v>1000000</v>
      </c>
      <c r="D307" s="557">
        <v>1000000</v>
      </c>
      <c r="E307" s="558"/>
      <c r="F307" s="556"/>
      <c r="G307" s="556"/>
      <c r="H307" s="552"/>
      <c r="I307" s="552">
        <f aca="true" t="shared" si="17" ref="I307:I312">D307-F307</f>
        <v>1000000</v>
      </c>
      <c r="J307" s="599"/>
      <c r="K307" s="132">
        <f t="shared" si="16"/>
        <v>1000000</v>
      </c>
    </row>
    <row r="308" spans="1:11" ht="12.75">
      <c r="A308" s="555">
        <v>4234</v>
      </c>
      <c r="B308" s="556" t="s">
        <v>108</v>
      </c>
      <c r="C308" s="552">
        <v>600000</v>
      </c>
      <c r="D308" s="557">
        <v>500000</v>
      </c>
      <c r="E308" s="558"/>
      <c r="F308" s="556"/>
      <c r="G308" s="556"/>
      <c r="H308" s="552"/>
      <c r="I308" s="552">
        <v>500000</v>
      </c>
      <c r="J308" s="599"/>
      <c r="K308" s="132">
        <f t="shared" si="16"/>
        <v>500000</v>
      </c>
    </row>
    <row r="309" spans="1:11" ht="12.75">
      <c r="A309" s="555">
        <v>4235</v>
      </c>
      <c r="B309" s="556" t="s">
        <v>109</v>
      </c>
      <c r="C309" s="552">
        <v>4500000</v>
      </c>
      <c r="D309" s="557">
        <v>4800000</v>
      </c>
      <c r="E309" s="558"/>
      <c r="F309" s="556"/>
      <c r="G309" s="556"/>
      <c r="H309" s="552"/>
      <c r="I309" s="552">
        <f t="shared" si="17"/>
        <v>4800000</v>
      </c>
      <c r="J309" s="599"/>
      <c r="K309" s="132">
        <f t="shared" si="16"/>
        <v>4800000</v>
      </c>
    </row>
    <row r="310" spans="1:11" ht="12.75">
      <c r="A310" s="555">
        <v>4236</v>
      </c>
      <c r="B310" s="556" t="s">
        <v>110</v>
      </c>
      <c r="C310" s="552">
        <v>2000000</v>
      </c>
      <c r="D310" s="557">
        <v>1600000</v>
      </c>
      <c r="E310" s="558"/>
      <c r="F310" s="556">
        <v>800000</v>
      </c>
      <c r="G310" s="556"/>
      <c r="H310" s="552"/>
      <c r="I310" s="552">
        <v>800000</v>
      </c>
      <c r="J310" s="599"/>
      <c r="K310" s="132">
        <f t="shared" si="16"/>
        <v>1600000</v>
      </c>
    </row>
    <row r="311" spans="1:11" ht="12.75">
      <c r="A311" s="555">
        <v>4237</v>
      </c>
      <c r="B311" s="556" t="s">
        <v>47</v>
      </c>
      <c r="C311" s="552">
        <v>200000</v>
      </c>
      <c r="D311" s="557">
        <v>500000</v>
      </c>
      <c r="E311" s="558"/>
      <c r="F311" s="556"/>
      <c r="G311" s="556"/>
      <c r="H311" s="552"/>
      <c r="I311" s="552">
        <v>500000</v>
      </c>
      <c r="J311" s="599"/>
      <c r="K311" s="132">
        <f t="shared" si="16"/>
        <v>500000</v>
      </c>
    </row>
    <row r="312" spans="1:11" ht="12.75">
      <c r="A312" s="555">
        <v>4239</v>
      </c>
      <c r="B312" s="556" t="s">
        <v>48</v>
      </c>
      <c r="C312" s="552">
        <v>880000</v>
      </c>
      <c r="D312" s="557">
        <v>750000</v>
      </c>
      <c r="E312" s="558"/>
      <c r="F312" s="556">
        <v>280000</v>
      </c>
      <c r="G312" s="556"/>
      <c r="H312" s="552"/>
      <c r="I312" s="552">
        <f t="shared" si="17"/>
        <v>470000</v>
      </c>
      <c r="J312" s="599"/>
      <c r="K312" s="132">
        <f t="shared" si="16"/>
        <v>750000</v>
      </c>
    </row>
    <row r="313" spans="1:11" ht="12.75">
      <c r="A313" s="555">
        <v>4240</v>
      </c>
      <c r="B313" s="546" t="s">
        <v>416</v>
      </c>
      <c r="C313" s="553">
        <v>5800000</v>
      </c>
      <c r="D313" s="549">
        <f>D314+D315+D316</f>
        <v>3953000</v>
      </c>
      <c r="E313" s="560"/>
      <c r="F313" s="546">
        <f>F314+F315+F316</f>
        <v>200000</v>
      </c>
      <c r="G313" s="546"/>
      <c r="H313" s="546"/>
      <c r="I313" s="546">
        <f>D313-F313</f>
        <v>3753000</v>
      </c>
      <c r="J313" s="646"/>
      <c r="K313" s="132">
        <f t="shared" si="16"/>
        <v>3953000</v>
      </c>
    </row>
    <row r="314" spans="1:11" ht="12.75">
      <c r="A314" s="555">
        <v>4243</v>
      </c>
      <c r="B314" s="556" t="s">
        <v>111</v>
      </c>
      <c r="C314" s="552">
        <v>5800000</v>
      </c>
      <c r="D314" s="557">
        <v>3700000</v>
      </c>
      <c r="E314" s="558"/>
      <c r="F314" s="556">
        <v>200000</v>
      </c>
      <c r="G314" s="556"/>
      <c r="H314" s="552"/>
      <c r="I314" s="552">
        <v>3500000</v>
      </c>
      <c r="J314" s="599"/>
      <c r="K314" s="132">
        <f t="shared" si="16"/>
        <v>3700000</v>
      </c>
    </row>
    <row r="315" spans="1:11" ht="12.75">
      <c r="A315" s="555"/>
      <c r="B315" s="556" t="s">
        <v>564</v>
      </c>
      <c r="C315" s="552"/>
      <c r="D315" s="557">
        <v>3000</v>
      </c>
      <c r="E315" s="558"/>
      <c r="F315" s="556"/>
      <c r="G315" s="556"/>
      <c r="H315" s="552"/>
      <c r="I315" s="552">
        <f>D315-F315</f>
        <v>3000</v>
      </c>
      <c r="J315" s="599"/>
      <c r="K315" s="132">
        <f t="shared" si="16"/>
        <v>3000</v>
      </c>
    </row>
    <row r="316" spans="1:11" ht="12.75">
      <c r="A316" s="555"/>
      <c r="B316" s="556" t="s">
        <v>565</v>
      </c>
      <c r="C316" s="552"/>
      <c r="D316" s="557">
        <v>250000</v>
      </c>
      <c r="E316" s="558"/>
      <c r="F316" s="556"/>
      <c r="G316" s="556"/>
      <c r="H316" s="552"/>
      <c r="I316" s="552">
        <f>D316-F316</f>
        <v>250000</v>
      </c>
      <c r="J316" s="599"/>
      <c r="K316" s="132">
        <f t="shared" si="16"/>
        <v>250000</v>
      </c>
    </row>
    <row r="317" spans="1:11" ht="12.75">
      <c r="A317" s="555">
        <v>4250</v>
      </c>
      <c r="B317" s="546" t="s">
        <v>417</v>
      </c>
      <c r="C317" s="553">
        <v>8957000</v>
      </c>
      <c r="D317" s="549">
        <v>5700000</v>
      </c>
      <c r="E317" s="560"/>
      <c r="F317" s="546">
        <f>F318+F319</f>
        <v>1800000</v>
      </c>
      <c r="G317" s="546"/>
      <c r="H317" s="546"/>
      <c r="I317" s="546">
        <f>D317-F317</f>
        <v>3900000</v>
      </c>
      <c r="J317" s="646"/>
      <c r="K317" s="132">
        <f t="shared" si="16"/>
        <v>5700000</v>
      </c>
    </row>
    <row r="318" spans="1:11" ht="12.75">
      <c r="A318" s="555">
        <v>4251</v>
      </c>
      <c r="B318" s="556" t="s">
        <v>112</v>
      </c>
      <c r="C318" s="552">
        <v>7057000</v>
      </c>
      <c r="D318" s="557">
        <v>1900000</v>
      </c>
      <c r="E318" s="558"/>
      <c r="F318" s="556">
        <v>600000</v>
      </c>
      <c r="G318" s="556"/>
      <c r="H318" s="552"/>
      <c r="I318" s="546">
        <v>1300000</v>
      </c>
      <c r="J318" s="646"/>
      <c r="K318" s="132">
        <f t="shared" si="16"/>
        <v>1900000</v>
      </c>
    </row>
    <row r="319" spans="1:11" ht="12.75">
      <c r="A319" s="555">
        <v>4252</v>
      </c>
      <c r="B319" s="556" t="s">
        <v>113</v>
      </c>
      <c r="C319" s="552">
        <v>1900000</v>
      </c>
      <c r="D319" s="557">
        <v>1600000</v>
      </c>
      <c r="E319" s="558"/>
      <c r="F319" s="556">
        <v>1200000</v>
      </c>
      <c r="G319" s="556"/>
      <c r="H319" s="552"/>
      <c r="I319" s="551">
        <v>400000</v>
      </c>
      <c r="J319" s="647"/>
      <c r="K319" s="132">
        <f t="shared" si="16"/>
        <v>1600000</v>
      </c>
    </row>
    <row r="320" spans="1:11" ht="12.75">
      <c r="A320" s="555">
        <v>4260</v>
      </c>
      <c r="B320" s="546" t="s">
        <v>418</v>
      </c>
      <c r="C320" s="553">
        <v>66163000</v>
      </c>
      <c r="D320" s="553">
        <f>D321+D322+D323+D325+D326+D329+D330+D331+D332</f>
        <v>56141000</v>
      </c>
      <c r="E320" s="560"/>
      <c r="F320" s="546">
        <f>F321+F322+F323+F324+F325+F326+F329+F330+F331+F332</f>
        <v>47114000</v>
      </c>
      <c r="G320" s="546"/>
      <c r="H320" s="546">
        <f>H321+H322+H323+H324+H325+H326+H329+H330+H331+H332</f>
        <v>0</v>
      </c>
      <c r="I320" s="546">
        <f>I321+I322+I323+I324+I325+I326+I329+I330+I331+I332</f>
        <v>9027000</v>
      </c>
      <c r="J320" s="646"/>
      <c r="K320" s="132">
        <f t="shared" si="16"/>
        <v>56141000</v>
      </c>
    </row>
    <row r="321" spans="1:11" ht="12.75">
      <c r="A321" s="555">
        <v>4261</v>
      </c>
      <c r="B321" s="556" t="s">
        <v>114</v>
      </c>
      <c r="C321" s="552">
        <v>5000000</v>
      </c>
      <c r="D321" s="557">
        <v>4408000</v>
      </c>
      <c r="E321" s="558"/>
      <c r="F321" s="556">
        <v>3700000</v>
      </c>
      <c r="G321" s="556"/>
      <c r="H321" s="552"/>
      <c r="I321" s="552">
        <v>708000</v>
      </c>
      <c r="J321" s="599"/>
      <c r="K321" s="132">
        <f t="shared" si="16"/>
        <v>4408000</v>
      </c>
    </row>
    <row r="322" spans="1:11" ht="12.75">
      <c r="A322" s="555">
        <v>4263</v>
      </c>
      <c r="B322" s="556" t="s">
        <v>115</v>
      </c>
      <c r="C322" s="552">
        <v>1500000</v>
      </c>
      <c r="D322" s="557">
        <v>800000</v>
      </c>
      <c r="E322" s="558"/>
      <c r="F322" s="556"/>
      <c r="G322" s="556"/>
      <c r="H322" s="552"/>
      <c r="I322" s="552">
        <v>800000</v>
      </c>
      <c r="J322" s="599"/>
      <c r="K322" s="132">
        <f t="shared" si="16"/>
        <v>800000</v>
      </c>
    </row>
    <row r="323" spans="1:11" ht="12.75">
      <c r="A323" s="555">
        <v>4264</v>
      </c>
      <c r="B323" s="556" t="s">
        <v>419</v>
      </c>
      <c r="C323" s="552">
        <v>19762000</v>
      </c>
      <c r="D323" s="557">
        <v>15845000</v>
      </c>
      <c r="E323" s="558"/>
      <c r="F323" s="556">
        <v>15015000</v>
      </c>
      <c r="G323" s="556"/>
      <c r="H323" s="552"/>
      <c r="I323" s="552">
        <f>D323-F323</f>
        <v>830000</v>
      </c>
      <c r="J323" s="599"/>
      <c r="K323" s="132">
        <f t="shared" si="16"/>
        <v>15845000</v>
      </c>
    </row>
    <row r="324" spans="1:11" ht="12.75">
      <c r="A324" s="555"/>
      <c r="B324" s="554" t="s">
        <v>566</v>
      </c>
      <c r="C324" s="554">
        <f>C325+C329+C330+C331+C332</f>
        <v>39901000</v>
      </c>
      <c r="D324" s="549"/>
      <c r="E324" s="565"/>
      <c r="F324" s="554"/>
      <c r="G324" s="554"/>
      <c r="H324" s="554"/>
      <c r="I324" s="554"/>
      <c r="J324" s="651"/>
      <c r="K324" s="132">
        <f t="shared" si="16"/>
        <v>0</v>
      </c>
    </row>
    <row r="325" spans="1:11" ht="12.75">
      <c r="A325" s="555">
        <v>426711</v>
      </c>
      <c r="B325" s="556" t="s">
        <v>420</v>
      </c>
      <c r="C325" s="551">
        <v>18451000</v>
      </c>
      <c r="D325" s="557">
        <f>F325+I325</f>
        <v>13481000</v>
      </c>
      <c r="E325" s="558"/>
      <c r="F325" s="556">
        <f>10051000+630000</f>
        <v>10681000</v>
      </c>
      <c r="G325" s="556"/>
      <c r="H325" s="552"/>
      <c r="I325" s="552">
        <v>2800000</v>
      </c>
      <c r="J325" s="599"/>
      <c r="K325" s="132">
        <f t="shared" si="16"/>
        <v>13481000</v>
      </c>
    </row>
    <row r="326" spans="1:11" ht="12.75">
      <c r="A326" s="566">
        <v>426751</v>
      </c>
      <c r="B326" s="556" t="s">
        <v>567</v>
      </c>
      <c r="C326" s="556"/>
      <c r="D326" s="551">
        <v>2050000</v>
      </c>
      <c r="E326" s="556"/>
      <c r="F326" s="556">
        <v>2050000</v>
      </c>
      <c r="G326" s="556"/>
      <c r="H326" s="552"/>
      <c r="I326" s="552"/>
      <c r="J326" s="599"/>
      <c r="K326" s="132">
        <f t="shared" si="16"/>
        <v>2050000</v>
      </c>
    </row>
    <row r="327" spans="1:11" ht="12.75">
      <c r="A327" s="567"/>
      <c r="B327" s="568" t="s">
        <v>395</v>
      </c>
      <c r="C327" s="568"/>
      <c r="D327" s="569"/>
      <c r="E327" s="568"/>
      <c r="F327" s="566" t="s">
        <v>221</v>
      </c>
      <c r="G327" s="566"/>
      <c r="H327" s="570" t="s">
        <v>439</v>
      </c>
      <c r="I327" s="540"/>
      <c r="J327" s="540"/>
      <c r="K327" s="132">
        <f t="shared" si="16"/>
        <v>0</v>
      </c>
    </row>
    <row r="328" spans="1:11" ht="33.75">
      <c r="A328" s="571" t="s">
        <v>399</v>
      </c>
      <c r="B328" s="571" t="s">
        <v>400</v>
      </c>
      <c r="C328" s="572" t="s">
        <v>401</v>
      </c>
      <c r="D328" s="573" t="s">
        <v>562</v>
      </c>
      <c r="E328" s="572" t="s">
        <v>402</v>
      </c>
      <c r="F328" s="572" t="s">
        <v>403</v>
      </c>
      <c r="G328" s="633"/>
      <c r="H328" s="574" t="s">
        <v>397</v>
      </c>
      <c r="I328" s="575" t="s">
        <v>404</v>
      </c>
      <c r="J328" s="652"/>
      <c r="K328" s="132">
        <f t="shared" si="16"/>
        <v>0</v>
      </c>
    </row>
    <row r="329" spans="1:11" ht="12.75">
      <c r="A329" s="555">
        <v>426713</v>
      </c>
      <c r="B329" s="556" t="s">
        <v>422</v>
      </c>
      <c r="C329" s="552">
        <v>3200000</v>
      </c>
      <c r="D329" s="557">
        <v>2900000</v>
      </c>
      <c r="E329" s="558"/>
      <c r="F329" s="556">
        <v>1361000</v>
      </c>
      <c r="G329" s="556"/>
      <c r="H329" s="552"/>
      <c r="I329" s="552">
        <f>D329-F329</f>
        <v>1539000</v>
      </c>
      <c r="J329" s="599"/>
      <c r="K329" s="132">
        <f t="shared" si="16"/>
        <v>2900000</v>
      </c>
    </row>
    <row r="330" spans="1:11" ht="12.75">
      <c r="A330" s="555">
        <v>426751</v>
      </c>
      <c r="B330" s="556" t="s">
        <v>421</v>
      </c>
      <c r="C330" s="551">
        <v>13428000</v>
      </c>
      <c r="D330" s="557">
        <f>F330+I330</f>
        <v>12957000</v>
      </c>
      <c r="E330" s="558"/>
      <c r="F330" s="556">
        <f>11028000+579000</f>
        <v>11607000</v>
      </c>
      <c r="G330" s="556"/>
      <c r="H330" s="552"/>
      <c r="I330" s="552">
        <v>1350000</v>
      </c>
      <c r="J330" s="599"/>
      <c r="K330" s="132">
        <f t="shared" si="16"/>
        <v>12957000</v>
      </c>
    </row>
    <row r="331" spans="1:11" ht="12.75">
      <c r="A331" s="563">
        <v>4268</v>
      </c>
      <c r="B331" s="551" t="s">
        <v>118</v>
      </c>
      <c r="C331" s="551">
        <v>2000000</v>
      </c>
      <c r="D331" s="557">
        <v>1500000</v>
      </c>
      <c r="E331" s="564"/>
      <c r="F331" s="551">
        <v>1500000</v>
      </c>
      <c r="G331" s="551"/>
      <c r="H331" s="551"/>
      <c r="I331" s="551"/>
      <c r="J331" s="647"/>
      <c r="K331" s="132">
        <f t="shared" si="16"/>
        <v>1500000</v>
      </c>
    </row>
    <row r="332" spans="1:11" ht="12.75">
      <c r="A332" s="563">
        <v>4269</v>
      </c>
      <c r="B332" s="551" t="s">
        <v>119</v>
      </c>
      <c r="C332" s="551">
        <v>2822000</v>
      </c>
      <c r="D332" s="557">
        <v>2200000</v>
      </c>
      <c r="E332" s="564"/>
      <c r="F332" s="551">
        <v>1200000</v>
      </c>
      <c r="G332" s="551"/>
      <c r="H332" s="551">
        <f>H326+H331</f>
        <v>0</v>
      </c>
      <c r="I332" s="551">
        <v>1000000</v>
      </c>
      <c r="J332" s="647"/>
      <c r="K332" s="132">
        <f t="shared" si="16"/>
        <v>2200000</v>
      </c>
    </row>
    <row r="333" spans="1:11" ht="12.75">
      <c r="A333" s="555">
        <v>4300</v>
      </c>
      <c r="B333" s="553" t="s">
        <v>423</v>
      </c>
      <c r="C333" s="553">
        <f>E333+F333+H333+I333</f>
        <v>400000</v>
      </c>
      <c r="D333" s="549">
        <v>400000</v>
      </c>
      <c r="E333" s="561"/>
      <c r="F333" s="553"/>
      <c r="G333" s="553"/>
      <c r="H333" s="553"/>
      <c r="I333" s="553">
        <v>400000</v>
      </c>
      <c r="J333" s="653"/>
      <c r="K333" s="132">
        <f t="shared" si="16"/>
        <v>400000</v>
      </c>
    </row>
    <row r="334" spans="1:11" ht="22.5">
      <c r="A334" s="555">
        <v>4400</v>
      </c>
      <c r="B334" s="548" t="s">
        <v>424</v>
      </c>
      <c r="C334" s="553">
        <f>E334+F334+H334+I334</f>
        <v>40000</v>
      </c>
      <c r="D334" s="549">
        <v>40000</v>
      </c>
      <c r="E334" s="561"/>
      <c r="F334" s="553"/>
      <c r="G334" s="553"/>
      <c r="H334" s="553"/>
      <c r="I334" s="553">
        <v>40000</v>
      </c>
      <c r="J334" s="653"/>
      <c r="K334" s="132">
        <f t="shared" si="16"/>
        <v>40000</v>
      </c>
    </row>
    <row r="335" spans="1:11" ht="12.75">
      <c r="A335" s="555">
        <v>4800</v>
      </c>
      <c r="B335" s="548" t="s">
        <v>425</v>
      </c>
      <c r="C335" s="553">
        <v>2800000</v>
      </c>
      <c r="D335" s="549">
        <v>2900000</v>
      </c>
      <c r="E335" s="561"/>
      <c r="F335" s="553">
        <f>F336</f>
        <v>356378</v>
      </c>
      <c r="G335" s="553"/>
      <c r="H335" s="553"/>
      <c r="I335" s="553">
        <f>I336</f>
        <v>2543622</v>
      </c>
      <c r="J335" s="653"/>
      <c r="K335" s="132">
        <f t="shared" si="16"/>
        <v>2900000</v>
      </c>
    </row>
    <row r="336" spans="1:11" ht="12.75">
      <c r="A336" s="555">
        <v>4820</v>
      </c>
      <c r="B336" s="556" t="s">
        <v>426</v>
      </c>
      <c r="C336" s="553">
        <v>2800000</v>
      </c>
      <c r="D336" s="557">
        <v>2900000</v>
      </c>
      <c r="E336" s="558"/>
      <c r="F336" s="556">
        <f>400000+56378-100000</f>
        <v>356378</v>
      </c>
      <c r="G336" s="556"/>
      <c r="H336" s="552"/>
      <c r="I336" s="552">
        <f>D336-F336</f>
        <v>2543622</v>
      </c>
      <c r="J336" s="599"/>
      <c r="K336" s="132">
        <f t="shared" si="16"/>
        <v>2900000</v>
      </c>
    </row>
    <row r="337" spans="1:11" ht="12.75">
      <c r="A337" s="555"/>
      <c r="B337" s="553" t="s">
        <v>449</v>
      </c>
      <c r="C337" s="553">
        <f>C335+C334+C333+C320+C317+C313+C305+C298+C297+C296+C295+C294+C293+C304</f>
        <v>594760000</v>
      </c>
      <c r="D337" s="553">
        <f>D335+D334+D333+D320+D317+D313+D305+D298+D297+D296+D295+D294+D293</f>
        <v>609514000</v>
      </c>
      <c r="E337" s="553">
        <f>E295</f>
        <v>6800000</v>
      </c>
      <c r="F337" s="553">
        <f>F335+F320+F317+F313+F305+F298+F297+F296+F295+F293</f>
        <v>534117000</v>
      </c>
      <c r="G337" s="553"/>
      <c r="H337" s="553">
        <f>H335+H320+H317+H313+H305+H298+H297+H296+H295+H293</f>
        <v>0</v>
      </c>
      <c r="I337" s="553">
        <f>I335+I334+I333+I320+I317+I313+I305+I298+I297+I296+I295+I294+I293</f>
        <v>68597000</v>
      </c>
      <c r="J337" s="653"/>
      <c r="K337" s="132">
        <f t="shared" si="16"/>
        <v>609514000</v>
      </c>
    </row>
    <row r="338" spans="1:10" ht="12.75">
      <c r="A338" s="91"/>
      <c r="B338" s="456"/>
      <c r="C338" s="521"/>
      <c r="D338" s="521"/>
      <c r="E338" s="521"/>
      <c r="F338" s="521"/>
      <c r="G338" s="521"/>
      <c r="H338" s="521"/>
      <c r="I338" s="521"/>
      <c r="J338" s="521"/>
    </row>
    <row r="339" spans="2:11" ht="12.75">
      <c r="B339" s="455" t="s">
        <v>437</v>
      </c>
      <c r="C339" s="522"/>
      <c r="D339" s="92"/>
      <c r="E339" s="522"/>
      <c r="F339" s="50"/>
      <c r="G339" s="50"/>
      <c r="H339" s="50"/>
      <c r="I339" s="522"/>
      <c r="J339" s="522"/>
      <c r="K339" s="539">
        <f>I339-17675000</f>
        <v>-17675000</v>
      </c>
    </row>
    <row r="340" spans="1:10" ht="33.75">
      <c r="A340" s="435" t="s">
        <v>399</v>
      </c>
      <c r="B340" s="435" t="s">
        <v>400</v>
      </c>
      <c r="C340" s="167" t="s">
        <v>401</v>
      </c>
      <c r="D340" s="123" t="s">
        <v>562</v>
      </c>
      <c r="E340" s="572" t="s">
        <v>402</v>
      </c>
      <c r="F340" s="572" t="s">
        <v>403</v>
      </c>
      <c r="G340" s="633"/>
      <c r="H340" s="574" t="s">
        <v>397</v>
      </c>
      <c r="I340" s="439" t="s">
        <v>404</v>
      </c>
      <c r="J340" s="636"/>
    </row>
    <row r="341" spans="1:10" ht="12.75">
      <c r="A341" s="438">
        <v>51110</v>
      </c>
      <c r="B341" s="438" t="s">
        <v>432</v>
      </c>
      <c r="C341" s="431">
        <v>14618350</v>
      </c>
      <c r="D341" s="37">
        <f>E341+F341+H341+I341</f>
        <v>13458350</v>
      </c>
      <c r="E341" s="546">
        <f>E342+E343+E344+E345+E346+E347+E348+E349</f>
        <v>5978350</v>
      </c>
      <c r="F341" s="546"/>
      <c r="G341" s="546"/>
      <c r="H341" s="546">
        <f>H342+H343+H344+H345+H346+H347+H348+H349</f>
        <v>0</v>
      </c>
      <c r="I341" s="431">
        <v>7480000</v>
      </c>
      <c r="J341" s="640"/>
    </row>
    <row r="342" spans="1:10" ht="12.75">
      <c r="A342" s="436"/>
      <c r="B342" s="34" t="s">
        <v>448</v>
      </c>
      <c r="C342" s="431">
        <v>3876350</v>
      </c>
      <c r="D342" s="35">
        <f aca="true" t="shared" si="18" ref="D342:D356">E342+F342+H342+I342</f>
        <v>3876350</v>
      </c>
      <c r="E342" s="552">
        <v>176350</v>
      </c>
      <c r="F342" s="552"/>
      <c r="G342" s="552"/>
      <c r="H342" s="552"/>
      <c r="I342" s="424">
        <v>3700000</v>
      </c>
      <c r="J342" s="599"/>
    </row>
    <row r="343" spans="1:10" ht="12.75">
      <c r="A343" s="436"/>
      <c r="B343" s="436" t="s">
        <v>442</v>
      </c>
      <c r="C343" s="431">
        <f>E343+F343+H343+I343</f>
        <v>0</v>
      </c>
      <c r="D343" s="35">
        <f t="shared" si="18"/>
        <v>0</v>
      </c>
      <c r="E343" s="552"/>
      <c r="F343" s="552"/>
      <c r="G343" s="552"/>
      <c r="H343" s="552"/>
      <c r="I343" s="424"/>
      <c r="J343" s="599"/>
    </row>
    <row r="344" spans="1:10" ht="12.75">
      <c r="A344" s="436"/>
      <c r="B344" s="436" t="s">
        <v>443</v>
      </c>
      <c r="C344" s="431">
        <v>2500000</v>
      </c>
      <c r="D344" s="35">
        <f t="shared" si="18"/>
        <v>2500000</v>
      </c>
      <c r="E344" s="552">
        <v>1500000</v>
      </c>
      <c r="F344" s="552"/>
      <c r="G344" s="552"/>
      <c r="H344" s="552"/>
      <c r="I344" s="424">
        <v>1000000</v>
      </c>
      <c r="J344" s="599"/>
    </row>
    <row r="345" spans="1:10" ht="12.75">
      <c r="A345" s="436"/>
      <c r="B345" s="436" t="s">
        <v>444</v>
      </c>
      <c r="C345" s="431">
        <f>E345+F345+H345+I345</f>
        <v>0</v>
      </c>
      <c r="D345" s="35">
        <f t="shared" si="18"/>
        <v>0</v>
      </c>
      <c r="E345" s="552"/>
      <c r="F345" s="552"/>
      <c r="G345" s="552"/>
      <c r="H345" s="552"/>
      <c r="I345" s="424"/>
      <c r="J345" s="599"/>
    </row>
    <row r="346" spans="1:10" ht="12.75">
      <c r="A346" s="436"/>
      <c r="B346" s="436" t="s">
        <v>445</v>
      </c>
      <c r="C346" s="431">
        <f>E346+F346+H346+I346</f>
        <v>0</v>
      </c>
      <c r="D346" s="35">
        <f t="shared" si="18"/>
        <v>0</v>
      </c>
      <c r="E346" s="552"/>
      <c r="F346" s="552"/>
      <c r="G346" s="552"/>
      <c r="H346" s="552"/>
      <c r="I346" s="424"/>
      <c r="J346" s="599"/>
    </row>
    <row r="347" spans="1:10" ht="12.75">
      <c r="A347" s="436"/>
      <c r="B347" s="436" t="s">
        <v>447</v>
      </c>
      <c r="C347" s="431">
        <v>2900000</v>
      </c>
      <c r="D347" s="35">
        <f t="shared" si="18"/>
        <v>1740000</v>
      </c>
      <c r="E347" s="552"/>
      <c r="F347" s="552"/>
      <c r="G347" s="552"/>
      <c r="H347" s="552"/>
      <c r="I347" s="424">
        <v>1740000</v>
      </c>
      <c r="J347" s="599"/>
    </row>
    <row r="348" spans="1:10" ht="12.75">
      <c r="A348" s="436"/>
      <c r="B348" s="34" t="s">
        <v>452</v>
      </c>
      <c r="C348" s="431">
        <v>4302000</v>
      </c>
      <c r="D348" s="35">
        <f t="shared" si="18"/>
        <v>4302000</v>
      </c>
      <c r="E348" s="552">
        <f>2745000+1557000</f>
        <v>4302000</v>
      </c>
      <c r="F348" s="552"/>
      <c r="G348" s="552"/>
      <c r="H348" s="552"/>
      <c r="I348" s="424"/>
      <c r="J348" s="599"/>
    </row>
    <row r="349" spans="1:10" ht="22.5">
      <c r="A349" s="436"/>
      <c r="B349" s="474" t="s">
        <v>451</v>
      </c>
      <c r="C349" s="431">
        <v>1040000</v>
      </c>
      <c r="D349" s="35">
        <f t="shared" si="18"/>
        <v>1040000</v>
      </c>
      <c r="E349" s="552"/>
      <c r="F349" s="552"/>
      <c r="G349" s="552"/>
      <c r="H349" s="552"/>
      <c r="I349" s="424">
        <v>1040000</v>
      </c>
      <c r="J349" s="599"/>
    </row>
    <row r="350" spans="1:11" ht="12.75">
      <c r="A350" s="438">
        <v>5120</v>
      </c>
      <c r="B350" s="438" t="s">
        <v>433</v>
      </c>
      <c r="C350" s="431">
        <v>25615000</v>
      </c>
      <c r="D350" s="37">
        <f t="shared" si="18"/>
        <v>20195000</v>
      </c>
      <c r="E350" s="546">
        <f>E351+E352+E353+E354+E355</f>
        <v>8000000</v>
      </c>
      <c r="F350" s="546"/>
      <c r="G350" s="546"/>
      <c r="H350" s="546">
        <f>H351+H352+H353+H354+H355</f>
        <v>2000000</v>
      </c>
      <c r="I350" s="431">
        <f>I351+I352+I353+I354+I355</f>
        <v>10195000</v>
      </c>
      <c r="J350" s="640"/>
      <c r="K350" s="132"/>
    </row>
    <row r="351" spans="1:11" ht="12.75">
      <c r="A351" s="436"/>
      <c r="B351" s="436" t="s">
        <v>434</v>
      </c>
      <c r="C351" s="431">
        <v>3120000</v>
      </c>
      <c r="D351" s="35">
        <f t="shared" si="18"/>
        <v>3120000</v>
      </c>
      <c r="E351" s="552">
        <v>2000000</v>
      </c>
      <c r="F351" s="552"/>
      <c r="G351" s="552"/>
      <c r="H351" s="552"/>
      <c r="I351" s="424">
        <v>1120000</v>
      </c>
      <c r="J351" s="599"/>
      <c r="K351" s="132"/>
    </row>
    <row r="352" spans="1:11" ht="12.75">
      <c r="A352" s="436"/>
      <c r="B352" s="436" t="s">
        <v>435</v>
      </c>
      <c r="C352" s="431">
        <v>8170000</v>
      </c>
      <c r="D352" s="35">
        <f t="shared" si="18"/>
        <v>7050000</v>
      </c>
      <c r="E352" s="552">
        <v>3500000</v>
      </c>
      <c r="F352" s="552"/>
      <c r="G352" s="552"/>
      <c r="H352" s="552">
        <v>1700000</v>
      </c>
      <c r="I352" s="424">
        <v>1850000</v>
      </c>
      <c r="J352" s="599"/>
      <c r="K352" s="132"/>
    </row>
    <row r="353" spans="1:11" ht="12.75">
      <c r="A353" s="436"/>
      <c r="B353" s="436" t="s">
        <v>436</v>
      </c>
      <c r="C353" s="431">
        <v>3755000</v>
      </c>
      <c r="D353" s="35">
        <f t="shared" si="18"/>
        <v>3755000</v>
      </c>
      <c r="E353" s="552">
        <v>2500000</v>
      </c>
      <c r="F353" s="552"/>
      <c r="G353" s="552"/>
      <c r="H353" s="552"/>
      <c r="I353" s="424">
        <v>1255000</v>
      </c>
      <c r="J353" s="599"/>
      <c r="K353" s="132"/>
    </row>
    <row r="354" spans="1:11" ht="12.75">
      <c r="A354" s="436"/>
      <c r="B354" s="436" t="s">
        <v>446</v>
      </c>
      <c r="C354" s="431">
        <v>7400000</v>
      </c>
      <c r="D354" s="35">
        <f t="shared" si="18"/>
        <v>3500000</v>
      </c>
      <c r="E354" s="552"/>
      <c r="F354" s="552"/>
      <c r="G354" s="552"/>
      <c r="H354" s="552"/>
      <c r="I354" s="424">
        <v>3500000</v>
      </c>
      <c r="J354" s="599"/>
      <c r="K354" s="132"/>
    </row>
    <row r="355" spans="1:11" ht="12.75">
      <c r="A355" s="436"/>
      <c r="B355" s="34" t="s">
        <v>453</v>
      </c>
      <c r="C355" s="431">
        <v>3170000</v>
      </c>
      <c r="D355" s="35">
        <f t="shared" si="18"/>
        <v>2770000</v>
      </c>
      <c r="E355" s="552"/>
      <c r="F355" s="552"/>
      <c r="G355" s="552"/>
      <c r="H355" s="552">
        <v>300000</v>
      </c>
      <c r="I355" s="424">
        <v>2470000</v>
      </c>
      <c r="J355" s="599"/>
      <c r="K355" s="132"/>
    </row>
    <row r="356" spans="1:10" ht="12.75">
      <c r="A356" s="436"/>
      <c r="B356" s="452" t="s">
        <v>357</v>
      </c>
      <c r="C356" s="475">
        <v>40233350</v>
      </c>
      <c r="D356" s="37">
        <f t="shared" si="18"/>
        <v>33653350</v>
      </c>
      <c r="E356" s="579">
        <f>E341+E350</f>
        <v>13978350</v>
      </c>
      <c r="F356" s="579"/>
      <c r="G356" s="579"/>
      <c r="H356" s="579">
        <f>H341+H350</f>
        <v>2000000</v>
      </c>
      <c r="I356" s="475">
        <f>I341+I350</f>
        <v>17675000</v>
      </c>
      <c r="J356" s="641"/>
    </row>
    <row r="357" spans="3:4" ht="12.75">
      <c r="C357" s="479"/>
      <c r="D357" s="81"/>
    </row>
    <row r="358" ht="12.75">
      <c r="D358" s="27"/>
    </row>
    <row r="359" spans="2:10" ht="12.75">
      <c r="B359" s="477" t="s">
        <v>454</v>
      </c>
      <c r="C359" s="477">
        <f>C356+C337</f>
        <v>634993350</v>
      </c>
      <c r="D359" s="477">
        <f>D337+D356</f>
        <v>643167350</v>
      </c>
      <c r="E359" s="477">
        <f>E337+E356</f>
        <v>20778350</v>
      </c>
      <c r="F359" s="477">
        <f>F337+F356</f>
        <v>534117000</v>
      </c>
      <c r="G359" s="477"/>
      <c r="H359" s="477">
        <f>H337+H356</f>
        <v>2000000</v>
      </c>
      <c r="I359" s="477">
        <f>I337+I356</f>
        <v>86272000</v>
      </c>
      <c r="J359" s="642"/>
    </row>
    <row r="360" ht="12.75">
      <c r="D360" s="9"/>
    </row>
    <row r="361" ht="12.75">
      <c r="D361" s="27"/>
    </row>
    <row r="369" spans="2:10" ht="12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12.75">
      <c r="B370" s="433"/>
      <c r="C370" s="433"/>
      <c r="D370" s="433"/>
      <c r="E370" s="433"/>
      <c r="F370" s="432"/>
      <c r="G370" s="432"/>
      <c r="H370" s="433"/>
      <c r="I370" s="433"/>
      <c r="J370" s="433"/>
    </row>
    <row r="371" spans="2:10" ht="12.75">
      <c r="B371" s="430" t="s">
        <v>431</v>
      </c>
      <c r="C371" s="461">
        <v>61126400</v>
      </c>
      <c r="D371" s="431">
        <f>620643000-C337</f>
        <v>25883000</v>
      </c>
      <c r="E371" s="431">
        <f>E290-E295</f>
        <v>14897150</v>
      </c>
      <c r="F371" s="424"/>
      <c r="G371" s="424"/>
      <c r="H371" s="431"/>
      <c r="I371" s="431">
        <f>I288-I337</f>
        <v>3325000</v>
      </c>
      <c r="J371" s="640"/>
    </row>
    <row r="372" spans="2:10" ht="12.75">
      <c r="B372" s="468" t="s">
        <v>430</v>
      </c>
      <c r="C372" s="469" t="e">
        <f>#REF!+C371</f>
        <v>#REF!</v>
      </c>
      <c r="D372" s="470">
        <f>SUM(D337:D371)</f>
        <v>1379524400</v>
      </c>
      <c r="E372" s="470">
        <f>E337+E371</f>
        <v>21697150</v>
      </c>
      <c r="F372" s="470">
        <f>SUM(F337:F371)</f>
        <v>1068234000</v>
      </c>
      <c r="G372" s="470"/>
      <c r="H372" s="470">
        <f>SUM(H371)</f>
        <v>0</v>
      </c>
      <c r="I372" s="470">
        <f>SUM(I337:I371)</f>
        <v>211219000</v>
      </c>
      <c r="J372" s="643"/>
    </row>
    <row r="373" spans="2:10" ht="22.5">
      <c r="B373" s="439" t="s">
        <v>440</v>
      </c>
      <c r="C373" s="460"/>
      <c r="D373" s="451">
        <v>14350000</v>
      </c>
      <c r="E373" s="451"/>
      <c r="F373" s="451"/>
      <c r="G373" s="451"/>
      <c r="H373" s="451"/>
      <c r="I373" s="451">
        <v>14350000</v>
      </c>
      <c r="J373" s="644"/>
    </row>
    <row r="374" spans="2:10" ht="25.5">
      <c r="B374" s="459" t="s">
        <v>441</v>
      </c>
      <c r="C374" s="462" t="e">
        <f>#REF!+C371</f>
        <v>#REF!</v>
      </c>
      <c r="D374" s="463">
        <f>D372+D373</f>
        <v>1393874400</v>
      </c>
      <c r="E374" s="463">
        <f>E372+E373</f>
        <v>21697150</v>
      </c>
      <c r="F374" s="463">
        <f>F372+F373</f>
        <v>1068234000</v>
      </c>
      <c r="G374" s="463"/>
      <c r="H374" s="463">
        <f>H372+H373</f>
        <v>0</v>
      </c>
      <c r="I374" s="463">
        <f>I372+I373</f>
        <v>225569000</v>
      </c>
      <c r="J374" s="514"/>
    </row>
    <row r="375" spans="2:10" ht="12.75">
      <c r="B375" s="471" t="s">
        <v>450</v>
      </c>
      <c r="C375" s="472"/>
      <c r="D375" s="473">
        <f>D371+D373</f>
        <v>40233000</v>
      </c>
      <c r="E375" s="473">
        <f>E371+E373</f>
        <v>14897150</v>
      </c>
      <c r="F375" s="473">
        <f>F371+F373</f>
        <v>0</v>
      </c>
      <c r="G375" s="473"/>
      <c r="H375" s="473">
        <f>H371+H373</f>
        <v>0</v>
      </c>
      <c r="I375" s="473">
        <f>I371+I373</f>
        <v>17675000</v>
      </c>
      <c r="J375" s="473"/>
    </row>
    <row r="376" spans="2:10" ht="12.75">
      <c r="B376" s="464"/>
      <c r="C376" s="465"/>
      <c r="D376" s="466"/>
      <c r="E376" s="466"/>
      <c r="F376" s="466"/>
      <c r="G376" s="466"/>
      <c r="H376" s="466"/>
      <c r="I376" s="467"/>
      <c r="J376" s="645"/>
    </row>
    <row r="382" spans="1:10" ht="12.75">
      <c r="A382" s="171"/>
      <c r="B382" s="171"/>
      <c r="C382" s="171"/>
      <c r="D382" s="537" t="s">
        <v>572</v>
      </c>
      <c r="E382" s="171"/>
      <c r="F382" s="171"/>
      <c r="G382" s="171"/>
      <c r="H382" s="171"/>
      <c r="I382" s="171"/>
      <c r="J382" s="171"/>
    </row>
    <row r="383" spans="1:10" ht="12.75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</row>
    <row r="385" spans="1:10" ht="12.75">
      <c r="A385" s="223" t="s">
        <v>561</v>
      </c>
      <c r="B385" s="223"/>
      <c r="C385" s="389"/>
      <c r="D385" s="389"/>
      <c r="E385" s="389"/>
      <c r="F385" s="113"/>
      <c r="G385" s="113"/>
      <c r="H385" s="120"/>
      <c r="I385" s="11"/>
      <c r="J385" s="11"/>
    </row>
    <row r="386" spans="1:10" ht="12.75">
      <c r="A386" s="148" t="s">
        <v>407</v>
      </c>
      <c r="B386" s="148"/>
      <c r="C386" s="148"/>
      <c r="D386" s="149"/>
      <c r="E386" s="149"/>
      <c r="F386" s="149"/>
      <c r="G386" s="149"/>
      <c r="I386" s="149" t="s">
        <v>220</v>
      </c>
      <c r="J386" s="149"/>
    </row>
    <row r="387" spans="1:10" ht="33.75">
      <c r="A387" s="435" t="s">
        <v>399</v>
      </c>
      <c r="B387" s="435" t="s">
        <v>400</v>
      </c>
      <c r="C387" s="167" t="s">
        <v>401</v>
      </c>
      <c r="D387" s="123" t="s">
        <v>562</v>
      </c>
      <c r="E387" s="167" t="s">
        <v>402</v>
      </c>
      <c r="F387" s="167" t="s">
        <v>403</v>
      </c>
      <c r="G387" s="167"/>
      <c r="H387" s="438" t="s">
        <v>397</v>
      </c>
      <c r="I387" s="439" t="s">
        <v>404</v>
      </c>
      <c r="J387" s="636"/>
    </row>
    <row r="388" spans="1:10" ht="12.75">
      <c r="A388" s="428">
        <v>7330</v>
      </c>
      <c r="B388" s="427" t="s">
        <v>396</v>
      </c>
      <c r="C388" s="440">
        <f aca="true" t="shared" si="19" ref="C388:C402">E388+F388+H388+I388</f>
        <v>13978350</v>
      </c>
      <c r="D388" s="37">
        <v>13978350</v>
      </c>
      <c r="E388" s="426">
        <v>13978350</v>
      </c>
      <c r="F388" s="426"/>
      <c r="G388" s="426"/>
      <c r="H388" s="437"/>
      <c r="I388" s="437"/>
      <c r="J388" s="480"/>
    </row>
    <row r="389" spans="1:10" ht="12.75">
      <c r="A389" s="428">
        <v>7400</v>
      </c>
      <c r="B389" s="427" t="s">
        <v>397</v>
      </c>
      <c r="C389" s="440">
        <f t="shared" si="19"/>
        <v>2000000</v>
      </c>
      <c r="D389" s="37">
        <v>2000000</v>
      </c>
      <c r="E389" s="426"/>
      <c r="F389" s="426"/>
      <c r="G389" s="426"/>
      <c r="H389" s="441">
        <v>2000000</v>
      </c>
      <c r="I389" s="437"/>
      <c r="J389" s="480"/>
    </row>
    <row r="390" spans="1:10" ht="12.75">
      <c r="A390" s="428">
        <v>7410</v>
      </c>
      <c r="B390" s="427" t="s">
        <v>405</v>
      </c>
      <c r="C390" s="440">
        <f t="shared" si="19"/>
        <v>700000</v>
      </c>
      <c r="D390" s="37">
        <v>700000</v>
      </c>
      <c r="E390" s="426"/>
      <c r="F390" s="426"/>
      <c r="G390" s="426"/>
      <c r="H390" s="441"/>
      <c r="I390" s="442">
        <v>700000</v>
      </c>
      <c r="J390" s="637"/>
    </row>
    <row r="391" spans="1:10" ht="12.75">
      <c r="A391" s="158">
        <v>74212101</v>
      </c>
      <c r="B391" s="158" t="s">
        <v>140</v>
      </c>
      <c r="C391" s="443">
        <f t="shared" si="19"/>
        <v>1760000</v>
      </c>
      <c r="D391" s="35"/>
      <c r="E391" s="101"/>
      <c r="F391" s="101"/>
      <c r="G391" s="101"/>
      <c r="H391" s="437"/>
      <c r="I391" s="159">
        <v>1760000</v>
      </c>
      <c r="J391" s="122"/>
    </row>
    <row r="392" spans="1:10" ht="12.75">
      <c r="A392" s="99">
        <v>74212102</v>
      </c>
      <c r="B392" s="99" t="s">
        <v>142</v>
      </c>
      <c r="C392" s="443">
        <f t="shared" si="19"/>
        <v>14400000</v>
      </c>
      <c r="D392" s="35"/>
      <c r="E392" s="101"/>
      <c r="F392" s="101"/>
      <c r="G392" s="101"/>
      <c r="H392" s="437"/>
      <c r="I392" s="101">
        <v>14400000</v>
      </c>
      <c r="J392" s="122"/>
    </row>
    <row r="393" spans="1:10" ht="12.75">
      <c r="A393" s="99">
        <v>74212111</v>
      </c>
      <c r="B393" s="99" t="s">
        <v>141</v>
      </c>
      <c r="C393" s="443">
        <f t="shared" si="19"/>
        <v>500000</v>
      </c>
      <c r="D393" s="35"/>
      <c r="E393" s="101"/>
      <c r="F393" s="101"/>
      <c r="G393" s="101"/>
      <c r="H393" s="437"/>
      <c r="I393" s="101">
        <v>500000</v>
      </c>
      <c r="J393" s="122"/>
    </row>
    <row r="394" spans="1:10" ht="12.75">
      <c r="A394" s="99">
        <v>74212112</v>
      </c>
      <c r="B394" s="99" t="s">
        <v>143</v>
      </c>
      <c r="C394" s="443">
        <f t="shared" si="19"/>
        <v>500000</v>
      </c>
      <c r="D394" s="35"/>
      <c r="E394" s="101"/>
      <c r="F394" s="101"/>
      <c r="G394" s="101"/>
      <c r="H394" s="437"/>
      <c r="I394" s="101">
        <v>500000</v>
      </c>
      <c r="J394" s="122"/>
    </row>
    <row r="395" spans="1:10" ht="12.75">
      <c r="A395" s="99">
        <v>7421216</v>
      </c>
      <c r="B395" s="99" t="s">
        <v>145</v>
      </c>
      <c r="C395" s="443">
        <f t="shared" si="19"/>
        <v>320000</v>
      </c>
      <c r="D395" s="35"/>
      <c r="E395" s="101"/>
      <c r="F395" s="101"/>
      <c r="G395" s="101"/>
      <c r="H395" s="437"/>
      <c r="I395" s="101">
        <v>320000</v>
      </c>
      <c r="J395" s="122"/>
    </row>
    <row r="396" spans="1:10" ht="12.75">
      <c r="A396" s="99">
        <v>7421217</v>
      </c>
      <c r="B396" s="99" t="s">
        <v>146</v>
      </c>
      <c r="C396" s="443">
        <f t="shared" si="19"/>
        <v>34732000</v>
      </c>
      <c r="D396" s="35"/>
      <c r="E396" s="101"/>
      <c r="F396" s="101"/>
      <c r="G396" s="101"/>
      <c r="H396" s="437"/>
      <c r="I396" s="101">
        <v>34732000</v>
      </c>
      <c r="J396" s="122"/>
    </row>
    <row r="397" spans="1:10" ht="12.75">
      <c r="A397" s="99">
        <v>74212171</v>
      </c>
      <c r="B397" s="99" t="s">
        <v>147</v>
      </c>
      <c r="C397" s="443">
        <f t="shared" si="19"/>
        <v>9240000</v>
      </c>
      <c r="D397" s="35"/>
      <c r="E397" s="101"/>
      <c r="F397" s="101"/>
      <c r="G397" s="101"/>
      <c r="H397" s="437"/>
      <c r="I397" s="135">
        <v>9240000</v>
      </c>
      <c r="J397" s="136"/>
    </row>
    <row r="398" spans="1:10" ht="12.75">
      <c r="A398" s="99">
        <v>742161</v>
      </c>
      <c r="B398" s="99" t="s">
        <v>148</v>
      </c>
      <c r="C398" s="443">
        <f t="shared" si="19"/>
        <v>320000</v>
      </c>
      <c r="D398" s="35"/>
      <c r="E398" s="101"/>
      <c r="F398" s="101"/>
      <c r="G398" s="101"/>
      <c r="H398" s="437"/>
      <c r="I398" s="101">
        <v>320000</v>
      </c>
      <c r="J398" s="122"/>
    </row>
    <row r="399" spans="1:10" ht="12.75">
      <c r="A399" s="137">
        <v>7421</v>
      </c>
      <c r="B399" s="137" t="s">
        <v>149</v>
      </c>
      <c r="C399" s="440">
        <f t="shared" si="19"/>
        <v>61772000</v>
      </c>
      <c r="D399" s="37">
        <v>60400000</v>
      </c>
      <c r="E399" s="101"/>
      <c r="F399" s="106"/>
      <c r="G399" s="106"/>
      <c r="H399" s="437"/>
      <c r="I399" s="441">
        <f>SUM(I391:I398)</f>
        <v>61772000</v>
      </c>
      <c r="J399" s="637"/>
    </row>
    <row r="400" spans="1:10" ht="12.75">
      <c r="A400" s="137">
        <v>7451</v>
      </c>
      <c r="B400" s="137" t="s">
        <v>151</v>
      </c>
      <c r="C400" s="440">
        <f t="shared" si="19"/>
        <v>1200000</v>
      </c>
      <c r="D400" s="35">
        <v>1000000</v>
      </c>
      <c r="E400" s="101"/>
      <c r="F400" s="106"/>
      <c r="G400" s="106"/>
      <c r="H400" s="437"/>
      <c r="I400" s="441">
        <v>1200000</v>
      </c>
      <c r="J400" s="637"/>
    </row>
    <row r="401" spans="1:10" ht="12.75">
      <c r="A401" s="99">
        <v>7711111</v>
      </c>
      <c r="B401" s="99" t="s">
        <v>152</v>
      </c>
      <c r="C401" s="443">
        <f t="shared" si="19"/>
        <v>6320000</v>
      </c>
      <c r="D401" s="35">
        <v>6500000</v>
      </c>
      <c r="E401" s="101">
        <v>6320000</v>
      </c>
      <c r="F401" s="106"/>
      <c r="G401" s="106"/>
      <c r="H401" s="437"/>
      <c r="I401" s="437"/>
      <c r="J401" s="480"/>
    </row>
    <row r="402" spans="1:10" ht="12.75">
      <c r="A402" s="99">
        <v>7711112</v>
      </c>
      <c r="B402" s="99" t="s">
        <v>153</v>
      </c>
      <c r="C402" s="443">
        <f t="shared" si="19"/>
        <v>930000</v>
      </c>
      <c r="D402" s="35">
        <v>1000000</v>
      </c>
      <c r="E402" s="424"/>
      <c r="F402" s="424">
        <v>930000</v>
      </c>
      <c r="G402" s="424"/>
      <c r="H402" s="437"/>
      <c r="I402" s="437"/>
      <c r="J402" s="480"/>
    </row>
    <row r="403" spans="1:10" ht="12.75">
      <c r="A403" s="99"/>
      <c r="B403" s="99" t="s">
        <v>568</v>
      </c>
      <c r="C403" s="443"/>
      <c r="D403" s="35">
        <v>500000</v>
      </c>
      <c r="E403" s="424"/>
      <c r="F403" s="424"/>
      <c r="G403" s="424"/>
      <c r="H403" s="437"/>
      <c r="I403" s="437"/>
      <c r="J403" s="480"/>
    </row>
    <row r="404" spans="1:10" ht="12.75">
      <c r="A404" s="137">
        <v>7711</v>
      </c>
      <c r="B404" s="137" t="s">
        <v>154</v>
      </c>
      <c r="C404" s="440">
        <f>SUM(C401:C402)</f>
        <v>7250000</v>
      </c>
      <c r="D404" s="37">
        <v>8000000</v>
      </c>
      <c r="E404" s="440">
        <f>SUM(E401:E402)</f>
        <v>6320000</v>
      </c>
      <c r="F404" s="440">
        <f>SUM(F401:F402)</f>
        <v>930000</v>
      </c>
      <c r="G404" s="440"/>
      <c r="H404" s="440">
        <f>SUM(H401:H402)</f>
        <v>0</v>
      </c>
      <c r="I404" s="440">
        <f>SUM(I401:I402)</f>
        <v>0</v>
      </c>
      <c r="J404" s="638"/>
    </row>
    <row r="405" spans="1:10" ht="12.75">
      <c r="A405" s="137">
        <v>7721</v>
      </c>
      <c r="B405" s="137" t="s">
        <v>569</v>
      </c>
      <c r="C405" s="440"/>
      <c r="D405" s="37">
        <v>602000</v>
      </c>
      <c r="E405" s="440"/>
      <c r="F405" s="440"/>
      <c r="G405" s="440"/>
      <c r="H405" s="440"/>
      <c r="I405" s="440"/>
      <c r="J405" s="638"/>
    </row>
    <row r="406" spans="1:10" ht="12.75">
      <c r="A406" s="137">
        <v>7810</v>
      </c>
      <c r="B406" s="430" t="s">
        <v>371</v>
      </c>
      <c r="C406" s="440">
        <f aca="true" t="shared" si="20" ref="C406:C416">E406+F406+H406+I406</f>
        <v>8092000</v>
      </c>
      <c r="D406" s="37">
        <v>8092000</v>
      </c>
      <c r="E406" s="101"/>
      <c r="F406" s="106"/>
      <c r="G406" s="106"/>
      <c r="H406" s="437"/>
      <c r="I406" s="441">
        <v>8092000</v>
      </c>
      <c r="J406" s="637"/>
    </row>
    <row r="407" spans="1:10" ht="12.75">
      <c r="A407" s="143">
        <v>7811110101</v>
      </c>
      <c r="B407" s="99" t="s">
        <v>155</v>
      </c>
      <c r="C407" s="581">
        <f t="shared" si="20"/>
        <v>392673000</v>
      </c>
      <c r="D407" s="35"/>
      <c r="E407" s="101"/>
      <c r="F407" s="424">
        <v>392673000</v>
      </c>
      <c r="G407" s="424"/>
      <c r="H407" s="437"/>
      <c r="I407" s="437"/>
      <c r="J407" s="480"/>
    </row>
    <row r="408" spans="1:10" ht="12.75">
      <c r="A408" s="143">
        <v>7811110102</v>
      </c>
      <c r="B408" s="99" t="s">
        <v>156</v>
      </c>
      <c r="C408" s="581">
        <f t="shared" si="20"/>
        <v>6545000</v>
      </c>
      <c r="D408" s="35"/>
      <c r="E408" s="101"/>
      <c r="F408" s="424">
        <v>6545000</v>
      </c>
      <c r="G408" s="424"/>
      <c r="H408" s="437"/>
      <c r="I408" s="437"/>
      <c r="J408" s="480"/>
    </row>
    <row r="409" spans="1:10" ht="12.75">
      <c r="A409" s="143">
        <v>7811110103</v>
      </c>
      <c r="B409" s="99" t="s">
        <v>157</v>
      </c>
      <c r="C409" s="581">
        <f t="shared" si="20"/>
        <v>29615000</v>
      </c>
      <c r="D409" s="35"/>
      <c r="E409" s="101"/>
      <c r="F409" s="424">
        <v>29615000</v>
      </c>
      <c r="G409" s="424"/>
      <c r="H409" s="437"/>
      <c r="I409" s="437"/>
      <c r="J409" s="480"/>
    </row>
    <row r="410" spans="1:10" ht="12.75">
      <c r="A410" s="143">
        <v>7811110104</v>
      </c>
      <c r="B410" s="99" t="s">
        <v>158</v>
      </c>
      <c r="C410" s="581">
        <f t="shared" si="20"/>
        <v>19399000</v>
      </c>
      <c r="D410" s="35"/>
      <c r="E410" s="101"/>
      <c r="F410" s="424">
        <f>27228000-7829000</f>
        <v>19399000</v>
      </c>
      <c r="G410" s="424"/>
      <c r="H410" s="437"/>
      <c r="I410" s="437"/>
      <c r="J410" s="480"/>
    </row>
    <row r="411" spans="1:10" ht="12.75">
      <c r="A411" s="143">
        <v>7811110105</v>
      </c>
      <c r="B411" s="99" t="s">
        <v>159</v>
      </c>
      <c r="C411" s="581">
        <f t="shared" si="20"/>
        <v>11028000</v>
      </c>
      <c r="D411" s="35"/>
      <c r="E411" s="101"/>
      <c r="F411" s="424">
        <v>11028000</v>
      </c>
      <c r="G411" s="424"/>
      <c r="H411" s="437"/>
      <c r="I411" s="437"/>
      <c r="J411" s="480"/>
    </row>
    <row r="412" spans="1:10" ht="12.75">
      <c r="A412" s="143">
        <v>7811110106</v>
      </c>
      <c r="B412" s="99" t="s">
        <v>160</v>
      </c>
      <c r="C412" s="581">
        <f t="shared" si="20"/>
        <v>10051000</v>
      </c>
      <c r="D412" s="35"/>
      <c r="E412" s="101"/>
      <c r="F412" s="424">
        <v>10051000</v>
      </c>
      <c r="G412" s="424"/>
      <c r="H412" s="437"/>
      <c r="I412" s="437"/>
      <c r="J412" s="480"/>
    </row>
    <row r="413" spans="1:10" ht="12.75">
      <c r="A413" s="143">
        <v>781111013</v>
      </c>
      <c r="B413" s="99" t="s">
        <v>161</v>
      </c>
      <c r="C413" s="581">
        <f t="shared" si="20"/>
        <v>47702000</v>
      </c>
      <c r="D413" s="35"/>
      <c r="E413" s="101"/>
      <c r="F413" s="424">
        <v>47702000</v>
      </c>
      <c r="G413" s="424"/>
      <c r="H413" s="437"/>
      <c r="I413" s="437"/>
      <c r="J413" s="480"/>
    </row>
    <row r="414" spans="1:10" ht="12.75">
      <c r="A414" s="143"/>
      <c r="B414" s="434" t="s">
        <v>406</v>
      </c>
      <c r="C414" s="446">
        <f t="shared" si="20"/>
        <v>517013000</v>
      </c>
      <c r="D414" s="37">
        <v>519617000</v>
      </c>
      <c r="E414" s="101"/>
      <c r="F414" s="431">
        <f>SUM(F407:F413)</f>
        <v>517013000</v>
      </c>
      <c r="G414" s="431"/>
      <c r="H414" s="437"/>
      <c r="I414" s="437"/>
      <c r="J414" s="480"/>
    </row>
    <row r="415" spans="1:10" ht="12.75">
      <c r="A415" s="444">
        <v>7810</v>
      </c>
      <c r="B415" s="430" t="s">
        <v>398</v>
      </c>
      <c r="C415" s="440">
        <f t="shared" si="20"/>
        <v>8608000</v>
      </c>
      <c r="D415" s="37">
        <v>11328000</v>
      </c>
      <c r="E415" s="101"/>
      <c r="F415" s="106">
        <v>8608000</v>
      </c>
      <c r="G415" s="106"/>
      <c r="H415" s="437"/>
      <c r="I415" s="437"/>
      <c r="J415" s="480"/>
    </row>
    <row r="416" spans="1:10" ht="12.75">
      <c r="A416" s="445">
        <v>8120</v>
      </c>
      <c r="B416" s="430" t="s">
        <v>429</v>
      </c>
      <c r="C416" s="440">
        <f t="shared" si="20"/>
        <v>30000</v>
      </c>
      <c r="D416" s="35"/>
      <c r="E416" s="101"/>
      <c r="F416" s="106"/>
      <c r="G416" s="106"/>
      <c r="H416" s="437"/>
      <c r="I416" s="441">
        <v>30000</v>
      </c>
      <c r="J416" s="637"/>
    </row>
    <row r="417" spans="1:10" ht="12.75">
      <c r="A417" s="445">
        <v>7911</v>
      </c>
      <c r="B417" s="137" t="s">
        <v>570</v>
      </c>
      <c r="C417" s="440"/>
      <c r="D417" s="37">
        <v>316800</v>
      </c>
      <c r="E417" s="101"/>
      <c r="F417" s="106"/>
      <c r="G417" s="106"/>
      <c r="H417" s="437"/>
      <c r="I417" s="441"/>
      <c r="J417" s="637"/>
    </row>
    <row r="418" spans="1:10" ht="12.75">
      <c r="A418" s="145"/>
      <c r="B418" s="137" t="s">
        <v>351</v>
      </c>
      <c r="C418" s="440">
        <f>C415+C414+C404+C400+C399+C390+C389+C388+C406+C416</f>
        <v>620643350</v>
      </c>
      <c r="D418" s="37">
        <f>D417+D415+D414+D406+D405+D404+D399+D390+D389+D388</f>
        <v>625034150</v>
      </c>
      <c r="E418" s="440">
        <f>E415+E414+E404+E400+E399+E390+E389+E388+E406+E416</f>
        <v>20298350</v>
      </c>
      <c r="F418" s="440">
        <f>F415+F414+F404+F400+F399+F390+F389+F388+F406+F416</f>
        <v>526551000</v>
      </c>
      <c r="G418" s="440"/>
      <c r="H418" s="440">
        <f>H415+H414+H404+H400+H399+H390+H389+H388+H406+H416</f>
        <v>2000000</v>
      </c>
      <c r="I418" s="440">
        <f>I415+I414+I404+I400+I399+I390+I389+I388+I406+I416</f>
        <v>71794000</v>
      </c>
      <c r="J418" s="638"/>
    </row>
    <row r="419" spans="1:10" ht="22.5">
      <c r="A419" s="145"/>
      <c r="B419" s="447" t="s">
        <v>428</v>
      </c>
      <c r="C419" s="443">
        <f>E419+F419+H419+I419</f>
        <v>14350000</v>
      </c>
      <c r="D419" s="35">
        <v>14350000</v>
      </c>
      <c r="E419" s="424"/>
      <c r="F419" s="424"/>
      <c r="G419" s="424"/>
      <c r="H419" s="437"/>
      <c r="I419" s="437">
        <v>14350000</v>
      </c>
      <c r="J419" s="480"/>
    </row>
    <row r="420" spans="1:10" ht="22.5">
      <c r="A420" s="145"/>
      <c r="B420" s="450" t="s">
        <v>408</v>
      </c>
      <c r="C420" s="446">
        <f aca="true" t="shared" si="21" ref="C420:I420">SUM(C418:C419)</f>
        <v>634993350</v>
      </c>
      <c r="D420" s="37">
        <f t="shared" si="21"/>
        <v>639384150</v>
      </c>
      <c r="E420" s="446">
        <f t="shared" si="21"/>
        <v>20298350</v>
      </c>
      <c r="F420" s="446">
        <f t="shared" si="21"/>
        <v>526551000</v>
      </c>
      <c r="G420" s="446"/>
      <c r="H420" s="446">
        <f t="shared" si="21"/>
        <v>2000000</v>
      </c>
      <c r="I420" s="446">
        <f t="shared" si="21"/>
        <v>86144000</v>
      </c>
      <c r="J420" s="639"/>
    </row>
    <row r="421" spans="1:7" ht="12.75">
      <c r="A421" s="145"/>
      <c r="B421" s="147"/>
      <c r="C421" s="195"/>
      <c r="D421" s="121"/>
      <c r="E421" s="146"/>
      <c r="F421" s="146"/>
      <c r="G421" s="146"/>
    </row>
    <row r="422" spans="1:7" ht="12.75">
      <c r="A422" s="145"/>
      <c r="B422" s="147"/>
      <c r="C422" s="195"/>
      <c r="D422" s="121"/>
      <c r="E422" s="146"/>
      <c r="F422" s="146"/>
      <c r="G422" s="146"/>
    </row>
    <row r="423" spans="1:7" ht="12.75">
      <c r="A423" s="145"/>
      <c r="B423" s="147"/>
      <c r="C423" s="195"/>
      <c r="D423" s="121"/>
      <c r="E423" s="146"/>
      <c r="F423" s="146"/>
      <c r="G423" s="146"/>
    </row>
    <row r="424" spans="1:8" ht="12.75">
      <c r="A424" s="18"/>
      <c r="B424" s="15" t="s">
        <v>395</v>
      </c>
      <c r="C424" s="15"/>
      <c r="D424" s="71"/>
      <c r="E424" s="15"/>
      <c r="F424" s="91" t="s">
        <v>221</v>
      </c>
      <c r="G424" s="91"/>
      <c r="H424" s="433" t="s">
        <v>438</v>
      </c>
    </row>
    <row r="425" spans="1:10" ht="33.75">
      <c r="A425" s="435" t="s">
        <v>399</v>
      </c>
      <c r="B425" s="435" t="s">
        <v>400</v>
      </c>
      <c r="C425" s="167" t="s">
        <v>401</v>
      </c>
      <c r="D425" s="123" t="s">
        <v>562</v>
      </c>
      <c r="E425" s="167" t="s">
        <v>402</v>
      </c>
      <c r="F425" s="167" t="s">
        <v>403</v>
      </c>
      <c r="G425" s="167"/>
      <c r="H425" s="438" t="s">
        <v>397</v>
      </c>
      <c r="I425" s="439" t="s">
        <v>404</v>
      </c>
      <c r="J425" s="636"/>
    </row>
    <row r="426" spans="1:10" ht="12.75">
      <c r="A426" s="118">
        <v>4111</v>
      </c>
      <c r="B426" s="116" t="s">
        <v>92</v>
      </c>
      <c r="C426" s="116">
        <f>E426+F426+H426+I426</f>
        <v>385529000</v>
      </c>
      <c r="D426" s="35"/>
      <c r="E426" s="233"/>
      <c r="F426" s="437">
        <v>371529000</v>
      </c>
      <c r="G426" s="437"/>
      <c r="H426" s="437"/>
      <c r="I426" s="437">
        <v>14000000</v>
      </c>
      <c r="J426" s="480"/>
    </row>
    <row r="427" spans="1:10" ht="12.75">
      <c r="A427" s="118">
        <v>4120</v>
      </c>
      <c r="B427" s="116" t="s">
        <v>409</v>
      </c>
      <c r="C427" s="116">
        <f>E427+F427+H427+I427</f>
        <v>70804000</v>
      </c>
      <c r="D427" s="35"/>
      <c r="E427" s="233"/>
      <c r="F427" s="437">
        <v>66504000</v>
      </c>
      <c r="G427" s="437"/>
      <c r="H427" s="437"/>
      <c r="I427" s="437">
        <v>4300000</v>
      </c>
      <c r="J427" s="480"/>
    </row>
    <row r="428" spans="1:10" ht="12.75">
      <c r="A428" s="198"/>
      <c r="B428" s="96" t="s">
        <v>255</v>
      </c>
      <c r="C428" s="515">
        <f>SUM(C426:C427)</f>
        <v>456333000</v>
      </c>
      <c r="D428" s="95">
        <v>468409800</v>
      </c>
      <c r="E428" s="515">
        <f>SUM(E426:E427)</f>
        <v>0</v>
      </c>
      <c r="F428" s="515">
        <f>SUM(F426:F427)</f>
        <v>438033000</v>
      </c>
      <c r="G428" s="515"/>
      <c r="H428" s="515"/>
      <c r="I428" s="515">
        <f>SUM(I426:I427)</f>
        <v>18300000</v>
      </c>
      <c r="J428" s="654"/>
    </row>
    <row r="429" spans="1:10" ht="22.5">
      <c r="A429" s="198">
        <v>4130</v>
      </c>
      <c r="B429" s="516" t="s">
        <v>563</v>
      </c>
      <c r="C429" s="515">
        <f>E429+F429+H429+I429</f>
        <v>180000</v>
      </c>
      <c r="D429" s="95">
        <v>880000</v>
      </c>
      <c r="E429" s="517"/>
      <c r="F429" s="515"/>
      <c r="G429" s="515"/>
      <c r="H429" s="515"/>
      <c r="I429" s="515">
        <v>180000</v>
      </c>
      <c r="J429" s="654"/>
    </row>
    <row r="430" spans="1:10" ht="12.75">
      <c r="A430" s="198">
        <v>4140</v>
      </c>
      <c r="B430" s="96" t="s">
        <v>411</v>
      </c>
      <c r="C430" s="515">
        <f>E430+F430+H430+I430</f>
        <v>7450000</v>
      </c>
      <c r="D430" s="95">
        <v>11570000</v>
      </c>
      <c r="E430" s="518">
        <v>6320000</v>
      </c>
      <c r="F430" s="96">
        <v>930000</v>
      </c>
      <c r="G430" s="96"/>
      <c r="H430" s="519"/>
      <c r="I430" s="519">
        <v>200000</v>
      </c>
      <c r="J430" s="655"/>
    </row>
    <row r="431" spans="1:10" ht="22.5">
      <c r="A431" s="198">
        <v>4150</v>
      </c>
      <c r="B431" s="520" t="s">
        <v>410</v>
      </c>
      <c r="C431" s="515">
        <f>E431+F431+H431+I431</f>
        <v>7109000</v>
      </c>
      <c r="D431" s="95">
        <v>9600000</v>
      </c>
      <c r="E431" s="518"/>
      <c r="F431" s="96">
        <v>6609000</v>
      </c>
      <c r="G431" s="96"/>
      <c r="H431" s="519"/>
      <c r="I431" s="519">
        <v>500000</v>
      </c>
      <c r="J431" s="655"/>
    </row>
    <row r="432" spans="1:10" ht="22.5">
      <c r="A432" s="198">
        <v>4160</v>
      </c>
      <c r="B432" s="520" t="s">
        <v>412</v>
      </c>
      <c r="C432" s="515">
        <f>E432+F432+H432+I432</f>
        <v>9328000</v>
      </c>
      <c r="D432" s="95">
        <v>10200000</v>
      </c>
      <c r="E432" s="518"/>
      <c r="F432" s="96">
        <v>8608000</v>
      </c>
      <c r="G432" s="96"/>
      <c r="H432" s="519"/>
      <c r="I432" s="519">
        <v>720000</v>
      </c>
      <c r="J432" s="655"/>
    </row>
    <row r="433" spans="1:10" ht="12.75">
      <c r="A433" s="198">
        <v>4210</v>
      </c>
      <c r="B433" s="520" t="s">
        <v>413</v>
      </c>
      <c r="C433" s="96">
        <f>E433+F433+H433+I433</f>
        <v>20300000</v>
      </c>
      <c r="D433" s="95">
        <v>25100000</v>
      </c>
      <c r="E433" s="518"/>
      <c r="F433" s="96">
        <v>16000000</v>
      </c>
      <c r="G433" s="96"/>
      <c r="H433" s="519"/>
      <c r="I433" s="515">
        <v>4300000</v>
      </c>
      <c r="J433" s="654"/>
    </row>
    <row r="434" spans="1:10" ht="12.75">
      <c r="A434" s="436">
        <v>4211</v>
      </c>
      <c r="B434" s="116" t="s">
        <v>101</v>
      </c>
      <c r="C434" s="437">
        <f>F434+H434+I434</f>
        <v>1600000</v>
      </c>
      <c r="D434" s="35">
        <v>1900000</v>
      </c>
      <c r="E434" s="233">
        <f>D434+D435+D436+D437+D438+D439</f>
        <v>25100000</v>
      </c>
      <c r="F434" s="116">
        <v>1200000</v>
      </c>
      <c r="G434" s="116"/>
      <c r="H434" s="437"/>
      <c r="I434" s="437">
        <v>400000</v>
      </c>
      <c r="J434" s="480"/>
    </row>
    <row r="435" spans="1:10" ht="12.75">
      <c r="A435" s="436">
        <v>4212</v>
      </c>
      <c r="B435" s="116" t="s">
        <v>102</v>
      </c>
      <c r="C435" s="437">
        <f>F435+H435+I435</f>
        <v>11000000</v>
      </c>
      <c r="D435" s="35">
        <v>15000000</v>
      </c>
      <c r="E435" s="233"/>
      <c r="F435" s="116">
        <v>10000000</v>
      </c>
      <c r="G435" s="116"/>
      <c r="H435" s="437"/>
      <c r="I435" s="437">
        <v>1000000</v>
      </c>
      <c r="J435" s="480"/>
    </row>
    <row r="436" spans="1:10" ht="12.75">
      <c r="A436" s="436">
        <v>4213</v>
      </c>
      <c r="B436" s="116" t="s">
        <v>103</v>
      </c>
      <c r="C436" s="437">
        <f>F436+H436+I436</f>
        <v>3700000</v>
      </c>
      <c r="D436" s="35">
        <v>3900000</v>
      </c>
      <c r="E436" s="233"/>
      <c r="F436" s="116">
        <v>2000000</v>
      </c>
      <c r="G436" s="116"/>
      <c r="H436" s="437"/>
      <c r="I436" s="437">
        <v>1700000</v>
      </c>
      <c r="J436" s="480"/>
    </row>
    <row r="437" spans="1:10" ht="12.75">
      <c r="A437" s="436">
        <v>4214</v>
      </c>
      <c r="B437" s="116" t="s">
        <v>104</v>
      </c>
      <c r="C437" s="437">
        <f>F437+H437+I437</f>
        <v>1400000</v>
      </c>
      <c r="D437" s="35">
        <v>2000000</v>
      </c>
      <c r="E437" s="233"/>
      <c r="F437" s="116">
        <v>800000</v>
      </c>
      <c r="G437" s="116"/>
      <c r="H437" s="437"/>
      <c r="I437" s="437">
        <v>600000</v>
      </c>
      <c r="J437" s="480"/>
    </row>
    <row r="438" spans="1:10" ht="12.75">
      <c r="A438" s="434">
        <v>4215</v>
      </c>
      <c r="B438" s="135" t="s">
        <v>169</v>
      </c>
      <c r="C438" s="437">
        <f>F438+H438+I438</f>
        <v>2600000</v>
      </c>
      <c r="D438" s="35">
        <v>2000000</v>
      </c>
      <c r="E438" s="233"/>
      <c r="F438" s="116">
        <v>2000000</v>
      </c>
      <c r="G438" s="116"/>
      <c r="H438" s="437"/>
      <c r="I438" s="424">
        <v>600000</v>
      </c>
      <c r="J438" s="599"/>
    </row>
    <row r="439" spans="1:10" ht="12.75">
      <c r="A439" s="99">
        <v>4220</v>
      </c>
      <c r="B439" s="101" t="s">
        <v>414</v>
      </c>
      <c r="C439" s="101">
        <f aca="true" t="shared" si="22" ref="C439:C449">E439+F439+H439+I439</f>
        <v>300000</v>
      </c>
      <c r="D439" s="100">
        <v>300000</v>
      </c>
      <c r="E439" s="110"/>
      <c r="F439" s="101"/>
      <c r="G439" s="101"/>
      <c r="H439" s="101"/>
      <c r="I439" s="101">
        <v>300000</v>
      </c>
      <c r="J439" s="122"/>
    </row>
    <row r="440" spans="1:10" ht="12.75">
      <c r="A440" s="198">
        <v>4230</v>
      </c>
      <c r="B440" s="515" t="s">
        <v>415</v>
      </c>
      <c r="C440" s="96">
        <f t="shared" si="22"/>
        <v>9600000</v>
      </c>
      <c r="D440" s="95">
        <v>9950000</v>
      </c>
      <c r="E440" s="517"/>
      <c r="F440" s="515">
        <v>1600000</v>
      </c>
      <c r="G440" s="515"/>
      <c r="H440" s="515"/>
      <c r="I440" s="515">
        <v>8000000</v>
      </c>
      <c r="J440" s="654"/>
    </row>
    <row r="441" spans="1:10" ht="12.75">
      <c r="A441" s="118">
        <v>4232</v>
      </c>
      <c r="B441" s="116" t="s">
        <v>106</v>
      </c>
      <c r="C441" s="437">
        <f t="shared" si="22"/>
        <v>420000</v>
      </c>
      <c r="D441" s="35">
        <v>600000</v>
      </c>
      <c r="E441" s="233"/>
      <c r="F441" s="116">
        <v>320000</v>
      </c>
      <c r="G441" s="116"/>
      <c r="H441" s="437"/>
      <c r="I441" s="437">
        <v>100000</v>
      </c>
      <c r="J441" s="480"/>
    </row>
    <row r="442" spans="1:10" ht="12.75">
      <c r="A442" s="118">
        <v>4233</v>
      </c>
      <c r="B442" s="116" t="s">
        <v>107</v>
      </c>
      <c r="C442" s="437">
        <f t="shared" si="22"/>
        <v>1000000</v>
      </c>
      <c r="D442" s="35">
        <v>1000000</v>
      </c>
      <c r="E442" s="233"/>
      <c r="F442" s="116"/>
      <c r="G442" s="116"/>
      <c r="H442" s="437"/>
      <c r="I442" s="437">
        <v>1000000</v>
      </c>
      <c r="J442" s="480"/>
    </row>
    <row r="443" spans="1:10" ht="12.75">
      <c r="A443" s="118">
        <v>4234</v>
      </c>
      <c r="B443" s="116" t="s">
        <v>108</v>
      </c>
      <c r="C443" s="437">
        <f t="shared" si="22"/>
        <v>600000</v>
      </c>
      <c r="D443" s="35">
        <v>600000</v>
      </c>
      <c r="E443" s="233"/>
      <c r="F443" s="116"/>
      <c r="G443" s="116"/>
      <c r="H443" s="437"/>
      <c r="I443" s="437">
        <v>600000</v>
      </c>
      <c r="J443" s="480"/>
    </row>
    <row r="444" spans="1:10" ht="12.75">
      <c r="A444" s="118">
        <v>4235</v>
      </c>
      <c r="B444" s="116" t="s">
        <v>109</v>
      </c>
      <c r="C444" s="437">
        <f t="shared" si="22"/>
        <v>4500000</v>
      </c>
      <c r="D444" s="35">
        <v>5300000</v>
      </c>
      <c r="E444" s="233"/>
      <c r="F444" s="116"/>
      <c r="G444" s="116"/>
      <c r="H444" s="437"/>
      <c r="I444" s="437">
        <v>4500000</v>
      </c>
      <c r="J444" s="480"/>
    </row>
    <row r="445" spans="1:10" ht="12.75">
      <c r="A445" s="118">
        <v>4236</v>
      </c>
      <c r="B445" s="116" t="s">
        <v>110</v>
      </c>
      <c r="C445" s="437">
        <f t="shared" si="22"/>
        <v>2000000</v>
      </c>
      <c r="D445" s="35">
        <v>1600000</v>
      </c>
      <c r="E445" s="233"/>
      <c r="F445" s="116">
        <v>1000000</v>
      </c>
      <c r="G445" s="116"/>
      <c r="H445" s="437"/>
      <c r="I445" s="437">
        <v>1000000</v>
      </c>
      <c r="J445" s="480"/>
    </row>
    <row r="446" spans="1:10" ht="12.75">
      <c r="A446" s="118">
        <v>4237</v>
      </c>
      <c r="B446" s="116" t="s">
        <v>47</v>
      </c>
      <c r="C446" s="437">
        <f t="shared" si="22"/>
        <v>200000</v>
      </c>
      <c r="D446" s="35">
        <v>600000</v>
      </c>
      <c r="E446" s="233"/>
      <c r="F446" s="116"/>
      <c r="G446" s="116"/>
      <c r="H446" s="437"/>
      <c r="I446" s="437">
        <v>200000</v>
      </c>
      <c r="J446" s="480"/>
    </row>
    <row r="447" spans="1:10" ht="12.75">
      <c r="A447" s="118">
        <v>4239</v>
      </c>
      <c r="B447" s="116" t="s">
        <v>48</v>
      </c>
      <c r="C447" s="437">
        <f t="shared" si="22"/>
        <v>880000</v>
      </c>
      <c r="D447" s="35">
        <v>750000</v>
      </c>
      <c r="E447" s="233"/>
      <c r="F447" s="116">
        <v>280000</v>
      </c>
      <c r="G447" s="116"/>
      <c r="H447" s="437"/>
      <c r="I447" s="437">
        <v>600000</v>
      </c>
      <c r="J447" s="480"/>
    </row>
    <row r="448" spans="1:10" ht="12.75">
      <c r="A448" s="198">
        <v>4240</v>
      </c>
      <c r="B448" s="515" t="s">
        <v>416</v>
      </c>
      <c r="C448" s="96">
        <f t="shared" si="22"/>
        <v>5800000</v>
      </c>
      <c r="D448" s="95">
        <v>4053000</v>
      </c>
      <c r="E448" s="517"/>
      <c r="F448" s="515">
        <v>300000</v>
      </c>
      <c r="G448" s="515"/>
      <c r="H448" s="515"/>
      <c r="I448" s="515">
        <v>5500000</v>
      </c>
      <c r="J448" s="654"/>
    </row>
    <row r="449" spans="1:10" ht="12.75">
      <c r="A449" s="118">
        <v>4243</v>
      </c>
      <c r="B449" s="116" t="s">
        <v>111</v>
      </c>
      <c r="C449" s="437">
        <f t="shared" si="22"/>
        <v>5800000</v>
      </c>
      <c r="D449" s="35">
        <v>3800000</v>
      </c>
      <c r="E449" s="233"/>
      <c r="F449" s="116">
        <v>300000</v>
      </c>
      <c r="G449" s="116"/>
      <c r="H449" s="437"/>
      <c r="I449" s="437">
        <v>5500000</v>
      </c>
      <c r="J449" s="480"/>
    </row>
    <row r="450" spans="1:10" ht="12.75">
      <c r="A450" s="118"/>
      <c r="B450" s="116" t="s">
        <v>564</v>
      </c>
      <c r="C450" s="437"/>
      <c r="D450" s="35">
        <v>3000</v>
      </c>
      <c r="E450" s="233"/>
      <c r="F450" s="116"/>
      <c r="G450" s="116"/>
      <c r="H450" s="437"/>
      <c r="I450" s="437"/>
      <c r="J450" s="480"/>
    </row>
    <row r="451" spans="1:10" ht="12.75">
      <c r="A451" s="118"/>
      <c r="B451" s="116" t="s">
        <v>565</v>
      </c>
      <c r="C451" s="437"/>
      <c r="D451" s="35">
        <v>250000</v>
      </c>
      <c r="E451" s="233"/>
      <c r="F451" s="116"/>
      <c r="G451" s="116"/>
      <c r="H451" s="437"/>
      <c r="I451" s="437"/>
      <c r="J451" s="480"/>
    </row>
    <row r="452" spans="1:10" ht="12.75">
      <c r="A452" s="198">
        <v>4250</v>
      </c>
      <c r="B452" s="515" t="s">
        <v>417</v>
      </c>
      <c r="C452" s="96">
        <f>E452+F452+H452+I452</f>
        <v>8957000</v>
      </c>
      <c r="D452" s="95">
        <v>5700000</v>
      </c>
      <c r="E452" s="517"/>
      <c r="F452" s="515">
        <v>3130000</v>
      </c>
      <c r="G452" s="515"/>
      <c r="H452" s="515"/>
      <c r="I452" s="515">
        <v>5827000</v>
      </c>
      <c r="J452" s="654"/>
    </row>
    <row r="453" spans="1:10" ht="12.75">
      <c r="A453" s="118">
        <v>4251</v>
      </c>
      <c r="B453" s="116" t="s">
        <v>112</v>
      </c>
      <c r="C453" s="437">
        <f>E453+F453+H453+I453</f>
        <v>7057000</v>
      </c>
      <c r="D453" s="35">
        <v>3700000</v>
      </c>
      <c r="E453" s="233"/>
      <c r="F453" s="116">
        <v>2730000</v>
      </c>
      <c r="G453" s="116"/>
      <c r="H453" s="437"/>
      <c r="I453" s="437">
        <v>4327000</v>
      </c>
      <c r="J453" s="480"/>
    </row>
    <row r="454" spans="1:10" ht="12.75">
      <c r="A454" s="118">
        <v>4252</v>
      </c>
      <c r="B454" s="116" t="s">
        <v>113</v>
      </c>
      <c r="C454" s="437">
        <f>E454+F454+H454+I454</f>
        <v>1900000</v>
      </c>
      <c r="D454" s="35">
        <v>2000000</v>
      </c>
      <c r="E454" s="233"/>
      <c r="F454" s="116">
        <v>400000</v>
      </c>
      <c r="G454" s="116"/>
      <c r="H454" s="437"/>
      <c r="I454" s="437">
        <v>1500000</v>
      </c>
      <c r="J454" s="480"/>
    </row>
    <row r="455" spans="1:10" ht="12.75">
      <c r="A455" s="198">
        <v>4260</v>
      </c>
      <c r="B455" s="515" t="s">
        <v>418</v>
      </c>
      <c r="C455" s="96">
        <f>C456+C457+C458+C459+C466+C467</f>
        <v>66163000</v>
      </c>
      <c r="D455" s="96">
        <f>D456+D457+D458+D459+D466+D467</f>
        <v>55145000</v>
      </c>
      <c r="E455" s="517"/>
      <c r="F455" s="515">
        <v>51041000</v>
      </c>
      <c r="G455" s="515"/>
      <c r="H455" s="515"/>
      <c r="I455" s="515">
        <v>15122000</v>
      </c>
      <c r="J455" s="654"/>
    </row>
    <row r="456" spans="1:10" ht="12.75">
      <c r="A456" s="107">
        <v>4261</v>
      </c>
      <c r="B456" s="135" t="s">
        <v>114</v>
      </c>
      <c r="C456" s="424">
        <f>E456+F456+H456+I456</f>
        <v>5000000</v>
      </c>
      <c r="D456" s="100">
        <v>4800000</v>
      </c>
      <c r="E456" s="523"/>
      <c r="F456" s="135">
        <v>3800000</v>
      </c>
      <c r="G456" s="135"/>
      <c r="H456" s="424"/>
      <c r="I456" s="424">
        <v>1200000</v>
      </c>
      <c r="J456" s="599"/>
    </row>
    <row r="457" spans="1:10" ht="12.75">
      <c r="A457" s="107">
        <v>4263</v>
      </c>
      <c r="B457" s="135" t="s">
        <v>115</v>
      </c>
      <c r="C457" s="424">
        <f>E457+F457+H457+I457</f>
        <v>1500000</v>
      </c>
      <c r="D457" s="100">
        <v>800000</v>
      </c>
      <c r="E457" s="523"/>
      <c r="F457" s="135"/>
      <c r="G457" s="135"/>
      <c r="H457" s="424"/>
      <c r="I457" s="424">
        <v>1500000</v>
      </c>
      <c r="J457" s="599"/>
    </row>
    <row r="458" spans="1:10" ht="12.75">
      <c r="A458" s="107">
        <v>4264</v>
      </c>
      <c r="B458" s="135" t="s">
        <v>419</v>
      </c>
      <c r="C458" s="424">
        <f>E458+F458+H458+I458</f>
        <v>19762000</v>
      </c>
      <c r="D458" s="100">
        <v>15845000</v>
      </c>
      <c r="E458" s="523"/>
      <c r="F458" s="135">
        <v>19762000</v>
      </c>
      <c r="G458" s="135"/>
      <c r="H458" s="424"/>
      <c r="I458" s="424"/>
      <c r="J458" s="599"/>
    </row>
    <row r="459" spans="1:10" ht="12.75">
      <c r="A459" s="107"/>
      <c r="B459" s="130" t="s">
        <v>566</v>
      </c>
      <c r="C459" s="130">
        <f>C460+C464+C465</f>
        <v>35079000</v>
      </c>
      <c r="D459" s="138">
        <v>30000000</v>
      </c>
      <c r="E459" s="524"/>
      <c r="F459" s="130"/>
      <c r="G459" s="130"/>
      <c r="H459" s="130"/>
      <c r="I459" s="130"/>
      <c r="J459" s="390"/>
    </row>
    <row r="460" spans="1:10" ht="12.75">
      <c r="A460" s="118">
        <v>426711</v>
      </c>
      <c r="B460" s="116" t="s">
        <v>420</v>
      </c>
      <c r="C460" s="84">
        <f>F460+I460</f>
        <v>18451000</v>
      </c>
      <c r="D460" s="35">
        <v>15500000</v>
      </c>
      <c r="E460" s="233"/>
      <c r="F460" s="116">
        <v>10051000</v>
      </c>
      <c r="G460" s="116"/>
      <c r="H460" s="437"/>
      <c r="I460" s="437">
        <f>6800000+1600000</f>
        <v>8400000</v>
      </c>
      <c r="J460" s="480"/>
    </row>
    <row r="461" spans="1:10" ht="12.75">
      <c r="A461" s="91">
        <v>426751</v>
      </c>
      <c r="B461" s="116" t="s">
        <v>567</v>
      </c>
      <c r="C461" s="116"/>
      <c r="D461" s="84">
        <v>2000000</v>
      </c>
      <c r="E461" s="116"/>
      <c r="F461" s="116"/>
      <c r="G461" s="116"/>
      <c r="H461" s="437"/>
      <c r="I461" s="437"/>
      <c r="J461" s="480"/>
    </row>
    <row r="462" spans="1:8" ht="12.75">
      <c r="A462" s="18"/>
      <c r="B462" s="15" t="s">
        <v>395</v>
      </c>
      <c r="C462" s="15"/>
      <c r="D462" s="71"/>
      <c r="E462" s="15"/>
      <c r="F462" s="91" t="s">
        <v>221</v>
      </c>
      <c r="G462" s="91"/>
      <c r="H462" s="433" t="s">
        <v>439</v>
      </c>
    </row>
    <row r="463" spans="1:10" ht="33.75">
      <c r="A463" s="435" t="s">
        <v>399</v>
      </c>
      <c r="B463" s="435" t="s">
        <v>400</v>
      </c>
      <c r="C463" s="167" t="s">
        <v>401</v>
      </c>
      <c r="D463" s="123" t="s">
        <v>562</v>
      </c>
      <c r="E463" s="167" t="s">
        <v>402</v>
      </c>
      <c r="F463" s="167" t="s">
        <v>403</v>
      </c>
      <c r="G463" s="167"/>
      <c r="H463" s="438" t="s">
        <v>397</v>
      </c>
      <c r="I463" s="439" t="s">
        <v>404</v>
      </c>
      <c r="J463" s="636"/>
    </row>
    <row r="464" spans="1:10" ht="12.75">
      <c r="A464" s="118">
        <v>426713</v>
      </c>
      <c r="B464" s="116" t="s">
        <v>422</v>
      </c>
      <c r="C464" s="437">
        <v>3200000</v>
      </c>
      <c r="D464" s="35">
        <v>3200000</v>
      </c>
      <c r="E464" s="233"/>
      <c r="F464" s="116">
        <v>2400000</v>
      </c>
      <c r="G464" s="116"/>
      <c r="H464" s="437"/>
      <c r="I464" s="437">
        <v>800000</v>
      </c>
      <c r="J464" s="480"/>
    </row>
    <row r="465" spans="1:10" ht="12.75">
      <c r="A465" s="118">
        <v>426751</v>
      </c>
      <c r="B465" s="116" t="s">
        <v>421</v>
      </c>
      <c r="C465" s="84">
        <f>F465+I465</f>
        <v>13428000</v>
      </c>
      <c r="D465" s="35">
        <v>12300000</v>
      </c>
      <c r="E465" s="233"/>
      <c r="F465" s="116">
        <f>11028000</f>
        <v>11028000</v>
      </c>
      <c r="G465" s="116"/>
      <c r="H465" s="437"/>
      <c r="I465" s="437">
        <v>2400000</v>
      </c>
      <c r="J465" s="480"/>
    </row>
    <row r="466" spans="1:10" ht="12.75">
      <c r="A466" s="99">
        <v>4268</v>
      </c>
      <c r="B466" s="101" t="s">
        <v>118</v>
      </c>
      <c r="C466" s="101">
        <f aca="true" t="shared" si="23" ref="C466:C471">E466+F466+H466+I466</f>
        <v>2000000</v>
      </c>
      <c r="D466" s="100">
        <v>1500000</v>
      </c>
      <c r="E466" s="110"/>
      <c r="F466" s="101">
        <v>2000000</v>
      </c>
      <c r="G466" s="101"/>
      <c r="H466" s="101"/>
      <c r="I466" s="101"/>
      <c r="J466" s="122"/>
    </row>
    <row r="467" spans="1:10" ht="12.75">
      <c r="A467" s="99">
        <v>4269</v>
      </c>
      <c r="B467" s="101" t="s">
        <v>119</v>
      </c>
      <c r="C467" s="101">
        <f t="shared" si="23"/>
        <v>2822000</v>
      </c>
      <c r="D467" s="100">
        <v>2200000</v>
      </c>
      <c r="E467" s="110"/>
      <c r="F467" s="101">
        <v>2000000</v>
      </c>
      <c r="G467" s="101"/>
      <c r="H467" s="101"/>
      <c r="I467" s="101">
        <v>822000</v>
      </c>
      <c r="J467" s="122"/>
    </row>
    <row r="468" spans="1:10" ht="12.75">
      <c r="A468" s="198">
        <v>4300</v>
      </c>
      <c r="B468" s="96" t="s">
        <v>423</v>
      </c>
      <c r="C468" s="96">
        <f t="shared" si="23"/>
        <v>400000</v>
      </c>
      <c r="D468" s="95">
        <v>400000</v>
      </c>
      <c r="E468" s="518"/>
      <c r="F468" s="96"/>
      <c r="G468" s="96"/>
      <c r="H468" s="96"/>
      <c r="I468" s="96">
        <v>400000</v>
      </c>
      <c r="J468" s="656"/>
    </row>
    <row r="469" spans="1:10" ht="22.5">
      <c r="A469" s="198">
        <v>4400</v>
      </c>
      <c r="B469" s="520" t="s">
        <v>424</v>
      </c>
      <c r="C469" s="96">
        <f t="shared" si="23"/>
        <v>40000</v>
      </c>
      <c r="D469" s="95">
        <v>40000</v>
      </c>
      <c r="E469" s="518"/>
      <c r="F469" s="96"/>
      <c r="G469" s="96"/>
      <c r="H469" s="96"/>
      <c r="I469" s="96">
        <v>40000</v>
      </c>
      <c r="J469" s="656"/>
    </row>
    <row r="470" spans="1:10" ht="12.75">
      <c r="A470" s="198">
        <v>4800</v>
      </c>
      <c r="B470" s="520" t="s">
        <v>425</v>
      </c>
      <c r="C470" s="96">
        <f t="shared" si="23"/>
        <v>2800000</v>
      </c>
      <c r="D470" s="95">
        <v>2900000</v>
      </c>
      <c r="E470" s="518"/>
      <c r="F470" s="96">
        <f>F471</f>
        <v>300000</v>
      </c>
      <c r="G470" s="96"/>
      <c r="H470" s="96"/>
      <c r="I470" s="96">
        <f>I471</f>
        <v>2500000</v>
      </c>
      <c r="J470" s="656"/>
    </row>
    <row r="471" spans="1:10" ht="12.75">
      <c r="A471" s="118">
        <v>4820</v>
      </c>
      <c r="B471" s="116" t="s">
        <v>426</v>
      </c>
      <c r="C471" s="90">
        <f t="shared" si="23"/>
        <v>2800000</v>
      </c>
      <c r="D471" s="35">
        <v>2900000</v>
      </c>
      <c r="E471" s="233"/>
      <c r="F471" s="116">
        <v>300000</v>
      </c>
      <c r="G471" s="116"/>
      <c r="H471" s="437"/>
      <c r="I471" s="437">
        <v>2500000</v>
      </c>
      <c r="J471" s="480"/>
    </row>
    <row r="472" spans="1:10" ht="12.75">
      <c r="A472" s="118"/>
      <c r="B472" s="106" t="s">
        <v>449</v>
      </c>
      <c r="C472" s="106">
        <f>C470+C469+C468+C455+C452+C448+C440+C433+C432+C431+C430+C429+C428+C439</f>
        <v>594760000</v>
      </c>
      <c r="D472" s="106">
        <f>D470+D469+D468+D455+D452+D448+D440+D439+D433+D432+D431+D430+D429+D428</f>
        <v>604247800</v>
      </c>
      <c r="E472" s="106">
        <f>E470+E469+E468+E455+E452+E448+E440+E433+E432+E431+E430+E429+E428+E439</f>
        <v>6320000</v>
      </c>
      <c r="F472" s="106">
        <f>F470+F469+F468+F455+F452+F448+F440+F433+F432+F431+F430+F429+F428+F439</f>
        <v>526551000</v>
      </c>
      <c r="G472" s="106"/>
      <c r="H472" s="106">
        <f>H470+H469+H468+H455+H452+H448+H440+H433+H432+H431+H430+H429+H428+H439</f>
        <v>0</v>
      </c>
      <c r="I472" s="106">
        <f>I470+I469+I468+I455+I452+I448+I440+I433+I432+I431+I430+I429+I428+I439</f>
        <v>61889000</v>
      </c>
      <c r="J472" s="125"/>
    </row>
    <row r="473" spans="1:10" ht="12.75">
      <c r="A473" s="91"/>
      <c r="B473" s="456"/>
      <c r="C473" s="521">
        <f>C470+C469+C468+C455+C452+C448+C440+C439+C433+C432+C431+C430+C429+C428</f>
        <v>594760000</v>
      </c>
      <c r="D473" s="521">
        <f>D470+D469+D468+D455+D452+D448+D440+D439+D433+D432+D431+D430+D429+D428</f>
        <v>604247800</v>
      </c>
      <c r="E473" s="514"/>
      <c r="F473" s="514"/>
      <c r="G473" s="514"/>
      <c r="H473" s="514"/>
      <c r="I473" s="514"/>
      <c r="J473" s="514"/>
    </row>
    <row r="474" spans="2:10" ht="12.75">
      <c r="B474" s="455" t="s">
        <v>437</v>
      </c>
      <c r="C474" s="522">
        <f>C473-C472</f>
        <v>0</v>
      </c>
      <c r="D474" s="92">
        <v>587647800</v>
      </c>
      <c r="E474" s="522">
        <f>D473-D474</f>
        <v>16600000</v>
      </c>
      <c r="F474" s="50"/>
      <c r="G474" s="50"/>
      <c r="H474" s="50"/>
      <c r="I474" s="50"/>
      <c r="J474" s="50"/>
    </row>
    <row r="475" spans="1:10" ht="33.75">
      <c r="A475" s="435" t="s">
        <v>399</v>
      </c>
      <c r="B475" s="435" t="s">
        <v>400</v>
      </c>
      <c r="C475" s="167" t="s">
        <v>401</v>
      </c>
      <c r="D475" s="123" t="s">
        <v>562</v>
      </c>
      <c r="E475" s="167" t="s">
        <v>402</v>
      </c>
      <c r="F475" s="167" t="s">
        <v>403</v>
      </c>
      <c r="G475" s="167"/>
      <c r="H475" s="438" t="s">
        <v>397</v>
      </c>
      <c r="I475" s="439" t="s">
        <v>404</v>
      </c>
      <c r="J475" s="636"/>
    </row>
    <row r="476" spans="1:10" ht="12.75">
      <c r="A476" s="438">
        <v>51110</v>
      </c>
      <c r="B476" s="438" t="s">
        <v>432</v>
      </c>
      <c r="C476" s="431">
        <f>C477+C478+C479+C480+C481+C482+C483+C484</f>
        <v>14618350</v>
      </c>
      <c r="D476" s="35">
        <v>14618350</v>
      </c>
      <c r="E476" s="431">
        <f>E477+E478+E479+E480+E481+E482+E483+E484</f>
        <v>5978350</v>
      </c>
      <c r="F476" s="431">
        <f>F477+F478+F479+F480+F481+F482+F483+F484</f>
        <v>0</v>
      </c>
      <c r="G476" s="431"/>
      <c r="H476" s="431">
        <f>H477+H478+H479+H480+H481+H482+H483+H484</f>
        <v>0</v>
      </c>
      <c r="I476" s="431">
        <f>I477+I478+I479+I480+I481+I482+I483+I484</f>
        <v>8640000</v>
      </c>
      <c r="J476" s="640"/>
    </row>
    <row r="477" spans="1:10" ht="12.75">
      <c r="A477" s="436"/>
      <c r="B477" s="34" t="s">
        <v>448</v>
      </c>
      <c r="C477" s="431">
        <v>3876350</v>
      </c>
      <c r="D477" s="35"/>
      <c r="E477" s="424">
        <v>176350</v>
      </c>
      <c r="F477" s="424"/>
      <c r="G477" s="424"/>
      <c r="H477" s="424"/>
      <c r="I477" s="424">
        <v>3700000</v>
      </c>
      <c r="J477" s="599"/>
    </row>
    <row r="478" spans="1:10" ht="12.75">
      <c r="A478" s="436"/>
      <c r="B478" s="436" t="s">
        <v>442</v>
      </c>
      <c r="C478" s="431">
        <f>E478+F478+H478+I478</f>
        <v>0</v>
      </c>
      <c r="D478" s="35"/>
      <c r="E478" s="424"/>
      <c r="F478" s="424"/>
      <c r="G478" s="424"/>
      <c r="H478" s="424"/>
      <c r="I478" s="424"/>
      <c r="J478" s="599"/>
    </row>
    <row r="479" spans="1:10" ht="12.75">
      <c r="A479" s="436"/>
      <c r="B479" s="436" t="s">
        <v>443</v>
      </c>
      <c r="C479" s="431">
        <f>E479+F479+H479+I479</f>
        <v>2500000</v>
      </c>
      <c r="D479" s="35"/>
      <c r="E479" s="424">
        <v>1500000</v>
      </c>
      <c r="F479" s="424"/>
      <c r="G479" s="424"/>
      <c r="H479" s="424"/>
      <c r="I479" s="424">
        <v>1000000</v>
      </c>
      <c r="J479" s="599"/>
    </row>
    <row r="480" spans="1:10" ht="12.75">
      <c r="A480" s="436"/>
      <c r="B480" s="436" t="s">
        <v>444</v>
      </c>
      <c r="C480" s="431">
        <f>E480+F480+H480+I480</f>
        <v>0</v>
      </c>
      <c r="D480" s="35"/>
      <c r="E480" s="424"/>
      <c r="F480" s="424"/>
      <c r="G480" s="424"/>
      <c r="H480" s="424"/>
      <c r="I480" s="424"/>
      <c r="J480" s="599"/>
    </row>
    <row r="481" spans="1:10" ht="12.75">
      <c r="A481" s="436"/>
      <c r="B481" s="436" t="s">
        <v>445</v>
      </c>
      <c r="C481" s="431">
        <f>E481+F481+H481+I481</f>
        <v>0</v>
      </c>
      <c r="D481" s="35"/>
      <c r="E481" s="424"/>
      <c r="F481" s="424"/>
      <c r="G481" s="424"/>
      <c r="H481" s="424"/>
      <c r="I481" s="424"/>
      <c r="J481" s="599"/>
    </row>
    <row r="482" spans="1:10" ht="12.75">
      <c r="A482" s="436"/>
      <c r="B482" s="436" t="s">
        <v>447</v>
      </c>
      <c r="C482" s="431">
        <f>E482+F482+H482+I482</f>
        <v>2900000</v>
      </c>
      <c r="D482" s="35"/>
      <c r="E482" s="424"/>
      <c r="F482" s="424"/>
      <c r="G482" s="424"/>
      <c r="H482" s="424"/>
      <c r="I482" s="424">
        <v>2900000</v>
      </c>
      <c r="J482" s="599"/>
    </row>
    <row r="483" spans="1:10" ht="12.75">
      <c r="A483" s="436"/>
      <c r="B483" s="34" t="s">
        <v>452</v>
      </c>
      <c r="C483" s="431">
        <f>E483</f>
        <v>4302000</v>
      </c>
      <c r="D483" s="35"/>
      <c r="E483" s="424">
        <f>2745000+1557000</f>
        <v>4302000</v>
      </c>
      <c r="F483" s="424"/>
      <c r="G483" s="424"/>
      <c r="H483" s="424"/>
      <c r="I483" s="424"/>
      <c r="J483" s="599"/>
    </row>
    <row r="484" spans="1:10" ht="22.5">
      <c r="A484" s="436"/>
      <c r="B484" s="474" t="s">
        <v>451</v>
      </c>
      <c r="C484" s="431">
        <f>E484+F484+H484+I484</f>
        <v>1040000</v>
      </c>
      <c r="D484" s="35"/>
      <c r="E484" s="424"/>
      <c r="F484" s="424"/>
      <c r="G484" s="424"/>
      <c r="H484" s="424"/>
      <c r="I484" s="424">
        <v>1040000</v>
      </c>
      <c r="J484" s="599"/>
    </row>
    <row r="485" spans="1:10" ht="12.75">
      <c r="A485" s="438">
        <v>5120</v>
      </c>
      <c r="B485" s="438" t="s">
        <v>433</v>
      </c>
      <c r="C485" s="431">
        <f>C486+C487+C488+C489+C490</f>
        <v>25615000</v>
      </c>
      <c r="D485" s="35"/>
      <c r="E485" s="431">
        <f>E486+E487+E488+E489+E490</f>
        <v>8000000</v>
      </c>
      <c r="F485" s="431">
        <f>F486+F487+F488+F489+F490</f>
        <v>0</v>
      </c>
      <c r="G485" s="431"/>
      <c r="H485" s="431">
        <f>H486+H487+H488+H489+H490</f>
        <v>2000000</v>
      </c>
      <c r="I485" s="431">
        <f>I486+I487+I488+I489+I490</f>
        <v>15615000</v>
      </c>
      <c r="J485" s="640"/>
    </row>
    <row r="486" spans="1:10" ht="12.75">
      <c r="A486" s="436"/>
      <c r="B486" s="436" t="s">
        <v>434</v>
      </c>
      <c r="C486" s="431">
        <f>E486+F486+H486+I486</f>
        <v>3120000</v>
      </c>
      <c r="D486" s="35">
        <v>6875000</v>
      </c>
      <c r="E486" s="424">
        <v>2000000</v>
      </c>
      <c r="F486" s="424"/>
      <c r="G486" s="424"/>
      <c r="H486" s="424"/>
      <c r="I486" s="424">
        <v>1120000</v>
      </c>
      <c r="J486" s="599"/>
    </row>
    <row r="487" spans="1:10" ht="12.75">
      <c r="A487" s="436"/>
      <c r="B487" s="436" t="s">
        <v>435</v>
      </c>
      <c r="C487" s="431">
        <f>E487+F487+H487+I487</f>
        <v>8170000</v>
      </c>
      <c r="D487" s="35"/>
      <c r="E487" s="424">
        <v>3500000</v>
      </c>
      <c r="F487" s="424"/>
      <c r="G487" s="424"/>
      <c r="H487" s="424">
        <v>1700000</v>
      </c>
      <c r="I487" s="424">
        <v>2970000</v>
      </c>
      <c r="J487" s="599"/>
    </row>
    <row r="488" spans="1:10" ht="12.75">
      <c r="A488" s="436"/>
      <c r="B488" s="436" t="s">
        <v>436</v>
      </c>
      <c r="C488" s="431">
        <f>E488+F488+H488+I488</f>
        <v>3755000</v>
      </c>
      <c r="D488" s="35"/>
      <c r="E488" s="424">
        <v>2500000</v>
      </c>
      <c r="F488" s="424"/>
      <c r="G488" s="424"/>
      <c r="H488" s="424"/>
      <c r="I488" s="424">
        <v>1255000</v>
      </c>
      <c r="J488" s="599"/>
    </row>
    <row r="489" spans="1:10" ht="12.75">
      <c r="A489" s="436"/>
      <c r="B489" s="436" t="s">
        <v>446</v>
      </c>
      <c r="C489" s="431">
        <f>E489+F489+H489+I489</f>
        <v>7400000</v>
      </c>
      <c r="D489" s="35"/>
      <c r="E489" s="424"/>
      <c r="F489" s="424"/>
      <c r="G489" s="424"/>
      <c r="H489" s="424"/>
      <c r="I489" s="424">
        <v>7400000</v>
      </c>
      <c r="J489" s="599"/>
    </row>
    <row r="490" spans="1:10" ht="12.75">
      <c r="A490" s="436"/>
      <c r="B490" s="34" t="s">
        <v>453</v>
      </c>
      <c r="C490" s="431">
        <f>E490+F490+H490+I490</f>
        <v>3170000</v>
      </c>
      <c r="D490" s="35"/>
      <c r="E490" s="424"/>
      <c r="F490" s="424"/>
      <c r="G490" s="424"/>
      <c r="H490" s="424">
        <v>300000</v>
      </c>
      <c r="I490" s="424">
        <v>2870000</v>
      </c>
      <c r="J490" s="599"/>
    </row>
    <row r="491" spans="1:10" ht="12.75">
      <c r="A491" s="436"/>
      <c r="B491" s="452" t="s">
        <v>357</v>
      </c>
      <c r="C491" s="475">
        <f>C476+C485</f>
        <v>40233350</v>
      </c>
      <c r="D491" s="525">
        <f>41113350-3000000</f>
        <v>38113350</v>
      </c>
      <c r="E491" s="475">
        <f>E476+E485</f>
        <v>13978350</v>
      </c>
      <c r="F491" s="475">
        <f>F476+F485</f>
        <v>0</v>
      </c>
      <c r="G491" s="475"/>
      <c r="H491" s="475">
        <f>H476+H485</f>
        <v>2000000</v>
      </c>
      <c r="I491" s="475">
        <f>I476+I485</f>
        <v>24255000</v>
      </c>
      <c r="J491" s="641"/>
    </row>
    <row r="492" spans="3:4" ht="12.75">
      <c r="C492" s="479"/>
      <c r="D492" s="27"/>
    </row>
    <row r="493" ht="12.75">
      <c r="D493" s="27"/>
    </row>
    <row r="494" spans="2:10" ht="12.75">
      <c r="B494" s="477" t="s">
        <v>454</v>
      </c>
      <c r="C494" s="477">
        <f aca="true" t="shared" si="24" ref="C494:I494">C491+C472</f>
        <v>634993350</v>
      </c>
      <c r="D494" s="477">
        <f t="shared" si="24"/>
        <v>642361150</v>
      </c>
      <c r="E494" s="477">
        <f t="shared" si="24"/>
        <v>20298350</v>
      </c>
      <c r="F494" s="477">
        <f t="shared" si="24"/>
        <v>526551000</v>
      </c>
      <c r="G494" s="477"/>
      <c r="H494" s="477">
        <f t="shared" si="24"/>
        <v>2000000</v>
      </c>
      <c r="I494" s="477">
        <f t="shared" si="24"/>
        <v>86144000</v>
      </c>
      <c r="J494" s="642"/>
    </row>
    <row r="495" spans="9:10" ht="12.75">
      <c r="I495" s="9"/>
      <c r="J495" s="9"/>
    </row>
    <row r="496" spans="3:4" ht="12.75">
      <c r="C496" s="479">
        <f>C456+C457+C458+C459+C466+C467</f>
        <v>66163000</v>
      </c>
      <c r="D496" s="37">
        <f>D420</f>
        <v>639384150</v>
      </c>
    </row>
    <row r="497" ht="12.75">
      <c r="D497" s="9">
        <f>D494-D496</f>
        <v>2977000</v>
      </c>
    </row>
    <row r="498" ht="12.75">
      <c r="D498" s="27"/>
    </row>
    <row r="500" spans="1:10" ht="12.75">
      <c r="A500" s="171"/>
      <c r="B500" s="171"/>
      <c r="C500" s="171"/>
      <c r="D500" s="580" t="s">
        <v>577</v>
      </c>
      <c r="E500" s="535"/>
      <c r="F500" s="171"/>
      <c r="G500" s="171"/>
      <c r="H500" s="171"/>
      <c r="I500" s="171"/>
      <c r="J500" s="171"/>
    </row>
    <row r="501" spans="1:10" ht="12.75">
      <c r="A501" s="171"/>
      <c r="B501" s="171"/>
      <c r="C501" s="171"/>
      <c r="D501" s="171" t="s">
        <v>578</v>
      </c>
      <c r="E501" s="171"/>
      <c r="F501" s="171"/>
      <c r="G501" s="171"/>
      <c r="H501" s="171"/>
      <c r="I501" s="171"/>
      <c r="J501" s="171"/>
    </row>
    <row r="502" spans="1:10" ht="12.75">
      <c r="A502" s="223" t="s">
        <v>561</v>
      </c>
      <c r="B502" s="223"/>
      <c r="C502" s="389"/>
      <c r="D502" s="389"/>
      <c r="E502" s="389"/>
      <c r="F502" s="113"/>
      <c r="G502" s="113"/>
      <c r="H502" s="120"/>
      <c r="I502" s="11"/>
      <c r="J502" s="11"/>
    </row>
    <row r="503" spans="1:10" ht="12.75">
      <c r="A503" s="148" t="s">
        <v>407</v>
      </c>
      <c r="B503" s="148"/>
      <c r="C503" s="148"/>
      <c r="D503" s="149"/>
      <c r="E503" s="149"/>
      <c r="F503" s="149"/>
      <c r="G503" s="149"/>
      <c r="I503" s="149" t="s">
        <v>220</v>
      </c>
      <c r="J503" s="149"/>
    </row>
    <row r="504" spans="1:10" ht="33.75">
      <c r="A504" s="435" t="s">
        <v>399</v>
      </c>
      <c r="B504" s="435" t="s">
        <v>400</v>
      </c>
      <c r="C504" s="167" t="s">
        <v>401</v>
      </c>
      <c r="D504" s="123" t="s">
        <v>580</v>
      </c>
      <c r="E504" s="167" t="s">
        <v>402</v>
      </c>
      <c r="F504" s="167" t="s">
        <v>403</v>
      </c>
      <c r="G504" s="167"/>
      <c r="H504" s="438" t="s">
        <v>397</v>
      </c>
      <c r="I504" s="439" t="s">
        <v>404</v>
      </c>
      <c r="J504" s="636"/>
    </row>
    <row r="505" spans="1:11" ht="12.75">
      <c r="A505" s="428">
        <v>7330</v>
      </c>
      <c r="B505" s="427" t="s">
        <v>396</v>
      </c>
      <c r="C505" s="440">
        <f>E505+F505+H505+I505+10302000</f>
        <v>13978350</v>
      </c>
      <c r="D505" s="37">
        <f>13978350-10302000</f>
        <v>3676350</v>
      </c>
      <c r="E505" s="426">
        <v>3676350</v>
      </c>
      <c r="F505" s="426"/>
      <c r="G505" s="426"/>
      <c r="H505" s="437"/>
      <c r="I505" s="437"/>
      <c r="J505" s="480"/>
      <c r="K505" t="s">
        <v>579</v>
      </c>
    </row>
    <row r="506" spans="1:10" ht="12.75">
      <c r="A506" s="428">
        <v>7400</v>
      </c>
      <c r="B506" s="427" t="s">
        <v>397</v>
      </c>
      <c r="C506" s="440">
        <f>E506+F506+H506+I506</f>
        <v>2000000</v>
      </c>
      <c r="D506" s="37">
        <v>2000000</v>
      </c>
      <c r="E506" s="426"/>
      <c r="F506" s="426"/>
      <c r="G506" s="426"/>
      <c r="H506" s="441">
        <v>2000000</v>
      </c>
      <c r="I506" s="437"/>
      <c r="J506" s="480"/>
    </row>
    <row r="507" spans="1:10" ht="12.75">
      <c r="A507" s="428">
        <v>7410</v>
      </c>
      <c r="B507" s="427" t="s">
        <v>405</v>
      </c>
      <c r="C507" s="440">
        <f>E507+F507+H507+I507</f>
        <v>700000</v>
      </c>
      <c r="D507" s="37">
        <v>700000</v>
      </c>
      <c r="E507" s="426"/>
      <c r="F507" s="426"/>
      <c r="G507" s="426"/>
      <c r="H507" s="441"/>
      <c r="I507" s="442">
        <v>700000</v>
      </c>
      <c r="J507" s="637"/>
    </row>
    <row r="508" spans="1:10" ht="12.75">
      <c r="A508" s="158">
        <v>74212101</v>
      </c>
      <c r="B508" s="158" t="s">
        <v>140</v>
      </c>
      <c r="C508" s="443">
        <v>1760000</v>
      </c>
      <c r="D508" s="35"/>
      <c r="E508" s="101"/>
      <c r="F508" s="101"/>
      <c r="G508" s="101"/>
      <c r="H508" s="437"/>
      <c r="I508" s="159"/>
      <c r="J508" s="122"/>
    </row>
    <row r="509" spans="1:10" ht="12.75">
      <c r="A509" s="99">
        <v>74212102</v>
      </c>
      <c r="B509" s="99" t="s">
        <v>142</v>
      </c>
      <c r="C509" s="443">
        <v>14400000</v>
      </c>
      <c r="D509" s="35"/>
      <c r="E509" s="101"/>
      <c r="F509" s="101"/>
      <c r="G509" s="101"/>
      <c r="H509" s="437"/>
      <c r="I509" s="101"/>
      <c r="J509" s="122"/>
    </row>
    <row r="510" spans="1:10" ht="12.75">
      <c r="A510" s="99">
        <v>74212111</v>
      </c>
      <c r="B510" s="99" t="s">
        <v>141</v>
      </c>
      <c r="C510" s="443">
        <v>500000</v>
      </c>
      <c r="D510" s="35"/>
      <c r="E510" s="101"/>
      <c r="F510" s="101"/>
      <c r="G510" s="101"/>
      <c r="H510" s="437"/>
      <c r="I510" s="101"/>
      <c r="J510" s="122"/>
    </row>
    <row r="511" spans="1:10" ht="12.75">
      <c r="A511" s="99">
        <v>74212112</v>
      </c>
      <c r="B511" s="99" t="s">
        <v>143</v>
      </c>
      <c r="C511" s="443">
        <v>500000</v>
      </c>
      <c r="D511" s="35"/>
      <c r="E511" s="101"/>
      <c r="F511" s="101"/>
      <c r="G511" s="101"/>
      <c r="H511" s="437"/>
      <c r="I511" s="101"/>
      <c r="J511" s="122"/>
    </row>
    <row r="512" spans="1:10" ht="12.75">
      <c r="A512" s="99"/>
      <c r="B512" s="99" t="s">
        <v>581</v>
      </c>
      <c r="C512" s="443"/>
      <c r="D512" s="35">
        <f>15800000/10*12</f>
        <v>18960000</v>
      </c>
      <c r="E512" s="101"/>
      <c r="F512" s="101"/>
      <c r="G512" s="101"/>
      <c r="H512" s="437"/>
      <c r="I512" s="101">
        <v>18960000</v>
      </c>
      <c r="J512" s="122"/>
    </row>
    <row r="513" spans="1:10" ht="12.75">
      <c r="A513" s="99">
        <v>7421216</v>
      </c>
      <c r="B513" s="99" t="s">
        <v>145</v>
      </c>
      <c r="C513" s="443">
        <v>320000</v>
      </c>
      <c r="D513" s="35">
        <v>1350000</v>
      </c>
      <c r="E513" s="101"/>
      <c r="F513" s="101"/>
      <c r="G513" s="101"/>
      <c r="H513" s="437"/>
      <c r="I513" s="101">
        <v>1350000</v>
      </c>
      <c r="J513" s="122"/>
    </row>
    <row r="514" spans="1:10" ht="12.75">
      <c r="A514" s="99">
        <v>7421217</v>
      </c>
      <c r="B514" s="99" t="s">
        <v>146</v>
      </c>
      <c r="C514" s="443">
        <v>34732000</v>
      </c>
      <c r="D514" s="35">
        <f>18500000+5000000</f>
        <v>23500000</v>
      </c>
      <c r="E514" s="101"/>
      <c r="F514" s="101"/>
      <c r="G514" s="101"/>
      <c r="H514" s="437"/>
      <c r="I514" s="101">
        <v>23500000</v>
      </c>
      <c r="J514" s="122"/>
    </row>
    <row r="515" spans="1:10" ht="12.75">
      <c r="A515" s="99">
        <v>74212171</v>
      </c>
      <c r="B515" s="99" t="s">
        <v>147</v>
      </c>
      <c r="C515" s="443">
        <v>9240000</v>
      </c>
      <c r="D515" s="35">
        <f>5994000/10*12</f>
        <v>7192800</v>
      </c>
      <c r="E515" s="101"/>
      <c r="F515" s="101"/>
      <c r="G515" s="101"/>
      <c r="H515" s="437"/>
      <c r="I515" s="135">
        <v>7192800</v>
      </c>
      <c r="J515" s="136"/>
    </row>
    <row r="516" spans="1:10" ht="12.75">
      <c r="A516" s="99">
        <v>742161</v>
      </c>
      <c r="B516" s="99" t="s">
        <v>148</v>
      </c>
      <c r="C516" s="443">
        <v>320000</v>
      </c>
      <c r="D516" s="35">
        <v>100000</v>
      </c>
      <c r="E516" s="101"/>
      <c r="F516" s="101"/>
      <c r="G516" s="101"/>
      <c r="H516" s="437"/>
      <c r="I516" s="101">
        <v>100000</v>
      </c>
      <c r="J516" s="122"/>
    </row>
    <row r="517" spans="1:11" ht="12.75">
      <c r="A517" s="137">
        <v>7421</v>
      </c>
      <c r="B517" s="137" t="s">
        <v>149</v>
      </c>
      <c r="C517" s="440">
        <v>61772000</v>
      </c>
      <c r="D517" s="37">
        <f>D512+D513+D514+D515+D516</f>
        <v>51102800</v>
      </c>
      <c r="E517" s="101"/>
      <c r="F517" s="106"/>
      <c r="G517" s="106"/>
      <c r="H517" s="437"/>
      <c r="I517" s="441">
        <f>SUM(I512:I516)</f>
        <v>51102800</v>
      </c>
      <c r="J517" s="637"/>
      <c r="K517" s="9">
        <f>C517-D517</f>
        <v>10669200</v>
      </c>
    </row>
    <row r="518" spans="1:11" ht="12.75">
      <c r="A518" s="137">
        <v>7451</v>
      </c>
      <c r="B518" s="137" t="s">
        <v>151</v>
      </c>
      <c r="C518" s="440">
        <v>1200000</v>
      </c>
      <c r="D518" s="37">
        <v>400000</v>
      </c>
      <c r="E518" s="101"/>
      <c r="F518" s="106"/>
      <c r="G518" s="106"/>
      <c r="H518" s="437"/>
      <c r="I518" s="441">
        <v>400000</v>
      </c>
      <c r="J518" s="637"/>
      <c r="K518" s="9">
        <f>D514</f>
        <v>23500000</v>
      </c>
    </row>
    <row r="519" spans="1:11" ht="12.75">
      <c r="A519" s="99">
        <v>7711111</v>
      </c>
      <c r="B519" s="99" t="s">
        <v>152</v>
      </c>
      <c r="C519" s="443">
        <v>6320000</v>
      </c>
      <c r="D519" s="35">
        <f>5500000/10*12-100000</f>
        <v>6500000</v>
      </c>
      <c r="E519" s="101">
        <v>6500000</v>
      </c>
      <c r="F519" s="106"/>
      <c r="G519" s="106"/>
      <c r="H519" s="437"/>
      <c r="I519" s="437"/>
      <c r="J519" s="480"/>
      <c r="K519" s="9">
        <f>K517+K518</f>
        <v>34169200</v>
      </c>
    </row>
    <row r="520" spans="1:12" ht="12.75">
      <c r="A520" s="99">
        <v>7711112</v>
      </c>
      <c r="B520" s="99" t="s">
        <v>153</v>
      </c>
      <c r="C520" s="443">
        <v>930000</v>
      </c>
      <c r="D520" s="35">
        <v>1000000</v>
      </c>
      <c r="E520" s="424"/>
      <c r="F520" s="424">
        <v>1000000</v>
      </c>
      <c r="G520" s="424"/>
      <c r="H520" s="437"/>
      <c r="I520" s="437"/>
      <c r="J520" s="480"/>
      <c r="K520" s="9">
        <f>C514-K519</f>
        <v>562800</v>
      </c>
      <c r="L520" t="s">
        <v>594</v>
      </c>
    </row>
    <row r="521" spans="1:10" ht="12.75">
      <c r="A521" s="99"/>
      <c r="B521" s="99" t="s">
        <v>568</v>
      </c>
      <c r="C521" s="443"/>
      <c r="D521" s="35">
        <v>500000</v>
      </c>
      <c r="E521" s="424">
        <v>500000</v>
      </c>
      <c r="F521" s="424"/>
      <c r="G521" s="424"/>
      <c r="H521" s="437"/>
      <c r="I521" s="437"/>
      <c r="J521" s="480"/>
    </row>
    <row r="522" spans="1:10" ht="12.75">
      <c r="A522" s="137">
        <v>7711</v>
      </c>
      <c r="B522" s="137" t="s">
        <v>154</v>
      </c>
      <c r="C522" s="440">
        <f>SUM(C519:C520)</f>
        <v>7250000</v>
      </c>
      <c r="D522" s="37">
        <f>D519+D520+D521</f>
        <v>8000000</v>
      </c>
      <c r="E522" s="440">
        <f>E519+E520+E521</f>
        <v>7000000</v>
      </c>
      <c r="F522" s="440">
        <f>SUM(F519:F520)</f>
        <v>1000000</v>
      </c>
      <c r="G522" s="440"/>
      <c r="H522" s="440">
        <f>SUM(H519:H520)</f>
        <v>0</v>
      </c>
      <c r="I522" s="440">
        <f>SUM(I519:I520)</f>
        <v>0</v>
      </c>
      <c r="J522" s="638"/>
    </row>
    <row r="523" spans="1:10" ht="12.75">
      <c r="A523" s="137">
        <v>7721</v>
      </c>
      <c r="B523" s="137" t="s">
        <v>569</v>
      </c>
      <c r="C523" s="440"/>
      <c r="D523" s="37">
        <v>602000</v>
      </c>
      <c r="E523" s="440"/>
      <c r="F523" s="440"/>
      <c r="G523" s="440"/>
      <c r="H523" s="440"/>
      <c r="I523" s="440"/>
      <c r="J523" s="638"/>
    </row>
    <row r="524" spans="1:10" ht="12.75">
      <c r="A524" s="137">
        <v>7810</v>
      </c>
      <c r="B524" s="430" t="s">
        <v>371</v>
      </c>
      <c r="C524" s="440">
        <v>8092000</v>
      </c>
      <c r="D524" s="37">
        <f>5250000/10*12</f>
        <v>6300000</v>
      </c>
      <c r="E524" s="101"/>
      <c r="F524" s="106"/>
      <c r="G524" s="106"/>
      <c r="H524" s="437"/>
      <c r="I524" s="441">
        <v>6300000</v>
      </c>
      <c r="J524" s="637"/>
    </row>
    <row r="525" spans="1:11" ht="12.75">
      <c r="A525" s="143">
        <v>7811110101</v>
      </c>
      <c r="B525" s="99" t="s">
        <v>155</v>
      </c>
      <c r="C525" s="443">
        <f>E525+F525+H525+I525</f>
        <v>392673000</v>
      </c>
      <c r="D525" s="35">
        <f>E525+F525+H525+I525</f>
        <v>392673000</v>
      </c>
      <c r="E525" s="101"/>
      <c r="F525" s="424">
        <v>392673000</v>
      </c>
      <c r="G525" s="424"/>
      <c r="H525" s="437"/>
      <c r="I525" s="437"/>
      <c r="J525" s="480"/>
      <c r="K525" s="479"/>
    </row>
    <row r="526" spans="1:11" ht="12.75">
      <c r="A526" s="143">
        <v>7811110102</v>
      </c>
      <c r="B526" s="99" t="s">
        <v>156</v>
      </c>
      <c r="C526" s="443">
        <v>6545000</v>
      </c>
      <c r="D526" s="35">
        <f aca="true" t="shared" si="25" ref="D526:D532">E526+F526+H526+I526</f>
        <v>9352000</v>
      </c>
      <c r="E526" s="101"/>
      <c r="F526" s="552">
        <v>9352000</v>
      </c>
      <c r="G526" s="552"/>
      <c r="H526" s="437"/>
      <c r="I526" s="437"/>
      <c r="J526" s="480"/>
      <c r="K526" s="479"/>
    </row>
    <row r="527" spans="1:10" ht="12.75">
      <c r="A527" s="143">
        <v>7811110103</v>
      </c>
      <c r="B527" s="99" t="s">
        <v>157</v>
      </c>
      <c r="C527" s="443">
        <f>E527+F527+H527+I527</f>
        <v>29615000</v>
      </c>
      <c r="D527" s="35">
        <f t="shared" si="25"/>
        <v>29615000</v>
      </c>
      <c r="E527" s="101"/>
      <c r="F527" s="424">
        <v>29615000</v>
      </c>
      <c r="G527" s="424"/>
      <c r="H527" s="437"/>
      <c r="I527" s="437"/>
      <c r="J527" s="480"/>
    </row>
    <row r="528" spans="1:10" ht="12.75">
      <c r="A528" s="143">
        <v>7811110104</v>
      </c>
      <c r="B528" s="99" t="s">
        <v>158</v>
      </c>
      <c r="C528" s="443">
        <f>E528+F528+H528+I528</f>
        <v>19399000</v>
      </c>
      <c r="D528" s="35">
        <f t="shared" si="25"/>
        <v>19399000</v>
      </c>
      <c r="E528" s="101"/>
      <c r="F528" s="424">
        <f>27228000-7829000</f>
        <v>19399000</v>
      </c>
      <c r="G528" s="424"/>
      <c r="H528" s="437"/>
      <c r="I528" s="437"/>
      <c r="J528" s="480"/>
    </row>
    <row r="529" spans="1:10" ht="12.75">
      <c r="A529" s="143">
        <v>7811110105</v>
      </c>
      <c r="B529" s="99" t="s">
        <v>159</v>
      </c>
      <c r="C529" s="443">
        <f>E529+F529+H529+I529</f>
        <v>11028000</v>
      </c>
      <c r="D529" s="35">
        <f t="shared" si="25"/>
        <v>11028000</v>
      </c>
      <c r="E529" s="101"/>
      <c r="F529" s="424">
        <v>11028000</v>
      </c>
      <c r="G529" s="424"/>
      <c r="H529" s="437"/>
      <c r="I529" s="437"/>
      <c r="J529" s="480"/>
    </row>
    <row r="530" spans="1:10" ht="12.75">
      <c r="A530" s="143">
        <v>7811110106</v>
      </c>
      <c r="B530" s="99" t="s">
        <v>160</v>
      </c>
      <c r="C530" s="443">
        <f>E530+F530+H530+I530</f>
        <v>10051000</v>
      </c>
      <c r="D530" s="35">
        <f t="shared" si="25"/>
        <v>10051000</v>
      </c>
      <c r="E530" s="101"/>
      <c r="F530" s="424">
        <v>10051000</v>
      </c>
      <c r="G530" s="424"/>
      <c r="H530" s="437"/>
      <c r="I530" s="437"/>
      <c r="J530" s="480"/>
    </row>
    <row r="531" spans="1:10" ht="12.75">
      <c r="A531" s="143"/>
      <c r="B531" s="99" t="s">
        <v>591</v>
      </c>
      <c r="C531" s="443">
        <v>47702000</v>
      </c>
      <c r="D531" s="35"/>
      <c r="E531" s="101"/>
      <c r="F531" s="424"/>
      <c r="G531" s="424"/>
      <c r="H531" s="437"/>
      <c r="I531" s="437"/>
      <c r="J531" s="480"/>
    </row>
    <row r="532" spans="1:10" ht="12.75">
      <c r="A532" s="143"/>
      <c r="B532" s="137" t="s">
        <v>583</v>
      </c>
      <c r="C532" s="391">
        <f>C525+C526+C527+C528+C529+C530+C531</f>
        <v>517013000</v>
      </c>
      <c r="D532" s="37">
        <f t="shared" si="25"/>
        <v>472118000</v>
      </c>
      <c r="E532" s="130"/>
      <c r="F532" s="130">
        <f>F525+F526+F527+F528+F529+F530+F531</f>
        <v>472118000</v>
      </c>
      <c r="G532" s="130"/>
      <c r="H532" s="587"/>
      <c r="I532" s="587"/>
      <c r="J532" s="131"/>
    </row>
    <row r="533" spans="1:11" ht="12.75">
      <c r="A533" s="588">
        <v>781111013</v>
      </c>
      <c r="B533" s="137" t="s">
        <v>582</v>
      </c>
      <c r="C533" s="391"/>
      <c r="D533" s="37">
        <f>D534+D540</f>
        <v>48519000</v>
      </c>
      <c r="E533" s="130"/>
      <c r="F533" s="130">
        <v>48519000</v>
      </c>
      <c r="G533" s="130"/>
      <c r="H533" s="587"/>
      <c r="I533" s="587"/>
      <c r="J533" s="131"/>
      <c r="K533" s="479"/>
    </row>
    <row r="534" spans="1:10" ht="12.75">
      <c r="A534" s="143"/>
      <c r="B534" s="99" t="s">
        <v>584</v>
      </c>
      <c r="C534" s="443"/>
      <c r="D534" s="35">
        <v>24002000</v>
      </c>
      <c r="E534" s="101"/>
      <c r="F534" s="424">
        <v>24002000</v>
      </c>
      <c r="G534" s="424"/>
      <c r="H534" s="437"/>
      <c r="I534" s="437"/>
      <c r="J534" s="480"/>
    </row>
    <row r="535" spans="1:10" ht="12.75">
      <c r="A535" s="143"/>
      <c r="B535" s="99" t="s">
        <v>585</v>
      </c>
      <c r="C535" s="443"/>
      <c r="D535" s="35">
        <v>21635000</v>
      </c>
      <c r="E535" s="101"/>
      <c r="F535" s="424">
        <v>21635000</v>
      </c>
      <c r="G535" s="424"/>
      <c r="H535" s="437"/>
      <c r="I535" s="437"/>
      <c r="J535" s="480"/>
    </row>
    <row r="536" spans="1:10" ht="12.75">
      <c r="A536" s="143"/>
      <c r="B536" s="99" t="s">
        <v>586</v>
      </c>
      <c r="C536" s="443"/>
      <c r="D536" s="35">
        <v>312000</v>
      </c>
      <c r="E536" s="101"/>
      <c r="F536" s="424">
        <v>312000</v>
      </c>
      <c r="G536" s="424"/>
      <c r="H536" s="437"/>
      <c r="I536" s="437"/>
      <c r="J536" s="480"/>
    </row>
    <row r="537" spans="1:10" ht="12.75">
      <c r="A537" s="143"/>
      <c r="B537" s="99" t="s">
        <v>587</v>
      </c>
      <c r="C537" s="443"/>
      <c r="D537" s="35">
        <v>579000</v>
      </c>
      <c r="E537" s="101"/>
      <c r="F537" s="424">
        <v>579000</v>
      </c>
      <c r="G537" s="424"/>
      <c r="H537" s="437"/>
      <c r="I537" s="437"/>
      <c r="J537" s="480"/>
    </row>
    <row r="538" spans="1:10" ht="12.75">
      <c r="A538" s="143"/>
      <c r="B538" s="99" t="s">
        <v>588</v>
      </c>
      <c r="C538" s="443"/>
      <c r="D538" s="35">
        <v>630000</v>
      </c>
      <c r="E538" s="101"/>
      <c r="F538" s="424">
        <v>630000</v>
      </c>
      <c r="G538" s="424"/>
      <c r="H538" s="437"/>
      <c r="I538" s="437"/>
      <c r="J538" s="480"/>
    </row>
    <row r="539" spans="1:10" ht="12.75">
      <c r="A539" s="143"/>
      <c r="B539" s="99" t="s">
        <v>589</v>
      </c>
      <c r="C539" s="443"/>
      <c r="D539" s="35">
        <v>1361000</v>
      </c>
      <c r="E539" s="101"/>
      <c r="F539" s="424">
        <v>1361000</v>
      </c>
      <c r="G539" s="424"/>
      <c r="H539" s="437"/>
      <c r="I539" s="437"/>
      <c r="J539" s="480"/>
    </row>
    <row r="540" spans="1:10" ht="12.75">
      <c r="A540" s="143"/>
      <c r="B540" s="99" t="s">
        <v>590</v>
      </c>
      <c r="C540" s="443"/>
      <c r="D540" s="35">
        <f>SUM(D535:D539)</f>
        <v>24517000</v>
      </c>
      <c r="E540" s="101"/>
      <c r="F540" s="424">
        <v>24517000</v>
      </c>
      <c r="G540" s="424"/>
      <c r="H540" s="437"/>
      <c r="I540" s="437"/>
      <c r="J540" s="480"/>
    </row>
    <row r="541" spans="1:10" ht="12.75">
      <c r="A541" s="143"/>
      <c r="B541" s="137" t="s">
        <v>593</v>
      </c>
      <c r="C541" s="391"/>
      <c r="D541" s="37">
        <v>2700000</v>
      </c>
      <c r="E541" s="130"/>
      <c r="F541" s="130">
        <v>2700000</v>
      </c>
      <c r="G541" s="130"/>
      <c r="H541" s="587"/>
      <c r="I541" s="587"/>
      <c r="J541" s="131"/>
    </row>
    <row r="542" spans="1:10" ht="12.75">
      <c r="A542" s="444">
        <v>7810</v>
      </c>
      <c r="B542" s="430" t="s">
        <v>398</v>
      </c>
      <c r="C542" s="440">
        <f>E542+F542+H542+I542</f>
        <v>7956000</v>
      </c>
      <c r="D542" s="37">
        <f>6630000/10*12</f>
        <v>7956000</v>
      </c>
      <c r="E542" s="101"/>
      <c r="F542" s="106">
        <v>7956000</v>
      </c>
      <c r="G542" s="106"/>
      <c r="H542" s="437"/>
      <c r="I542" s="437"/>
      <c r="J542" s="480"/>
    </row>
    <row r="543" spans="1:10" ht="12.75">
      <c r="A543" s="445">
        <v>8120</v>
      </c>
      <c r="B543" s="430" t="s">
        <v>429</v>
      </c>
      <c r="C543" s="440">
        <f>E543+F543+H543+I543</f>
        <v>30000</v>
      </c>
      <c r="D543" s="37">
        <v>30000</v>
      </c>
      <c r="E543" s="101"/>
      <c r="F543" s="106"/>
      <c r="G543" s="106"/>
      <c r="H543" s="437"/>
      <c r="I543" s="441">
        <v>30000</v>
      </c>
      <c r="J543" s="637"/>
    </row>
    <row r="544" spans="1:10" ht="12.75">
      <c r="A544" s="445">
        <v>7911</v>
      </c>
      <c r="B544" s="137" t="s">
        <v>570</v>
      </c>
      <c r="C544" s="440"/>
      <c r="D544" s="37">
        <v>316800</v>
      </c>
      <c r="E544" s="130">
        <v>316800</v>
      </c>
      <c r="F544" s="106"/>
      <c r="G544" s="106"/>
      <c r="H544" s="437"/>
      <c r="I544" s="441"/>
      <c r="J544" s="637"/>
    </row>
    <row r="545" spans="1:11" ht="12.75">
      <c r="A545" s="145"/>
      <c r="B545" s="137" t="s">
        <v>351</v>
      </c>
      <c r="C545" s="440">
        <f>C543+C542+C532+C533+C524+C522+C518+C517+C507+C506+C505</f>
        <v>619991350</v>
      </c>
      <c r="D545" s="440">
        <f>D544+D543+D542+D533+D532+D524+D523+D522+D518+D517+D507+D506+D505+D541</f>
        <v>604420950</v>
      </c>
      <c r="E545" s="440">
        <f>E542+E522+E518+E517+E507+E506+E505+E524+E543+E544</f>
        <v>10993150</v>
      </c>
      <c r="F545" s="440">
        <f>F542+F533+F532+F522+F541</f>
        <v>532293000</v>
      </c>
      <c r="G545" s="440"/>
      <c r="H545" s="440">
        <f>H506</f>
        <v>2000000</v>
      </c>
      <c r="I545" s="440">
        <f>I507+I517+I518+I524+I543</f>
        <v>58532800</v>
      </c>
      <c r="J545" s="638"/>
      <c r="K545" s="479"/>
    </row>
    <row r="546" spans="1:11" ht="22.5">
      <c r="A546" s="145"/>
      <c r="B546" s="447" t="s">
        <v>428</v>
      </c>
      <c r="C546" s="443">
        <f>E546+F546+H546+I546</f>
        <v>14350000</v>
      </c>
      <c r="D546" s="35">
        <v>14350000</v>
      </c>
      <c r="E546" s="424"/>
      <c r="F546" s="424"/>
      <c r="G546" s="424"/>
      <c r="H546" s="437"/>
      <c r="I546" s="437">
        <v>14350000</v>
      </c>
      <c r="J546" s="480"/>
      <c r="K546" s="539"/>
    </row>
    <row r="547" spans="1:11" ht="22.5">
      <c r="A547" s="145"/>
      <c r="B547" s="582" t="s">
        <v>408</v>
      </c>
      <c r="C547" s="583">
        <f aca="true" t="shared" si="26" ref="C547:I547">SUM(C545:C546)</f>
        <v>634341350</v>
      </c>
      <c r="D547" s="584">
        <f t="shared" si="26"/>
        <v>618770950</v>
      </c>
      <c r="E547" s="583">
        <f t="shared" si="26"/>
        <v>10993150</v>
      </c>
      <c r="F547" s="583">
        <f t="shared" si="26"/>
        <v>532293000</v>
      </c>
      <c r="G547" s="583"/>
      <c r="H547" s="583">
        <f t="shared" si="26"/>
        <v>2000000</v>
      </c>
      <c r="I547" s="583">
        <f t="shared" si="26"/>
        <v>72882800</v>
      </c>
      <c r="J547" s="604"/>
      <c r="K547" s="132"/>
    </row>
    <row r="548" spans="1:7" ht="12.75">
      <c r="A548" s="145"/>
      <c r="B548" s="147" t="s">
        <v>592</v>
      </c>
      <c r="C548" s="195"/>
      <c r="D548" s="589">
        <f>C547-D547</f>
        <v>15570400</v>
      </c>
      <c r="E548" s="146"/>
      <c r="F548" s="146"/>
      <c r="G548" s="146"/>
    </row>
    <row r="549" spans="1:7" ht="12.75">
      <c r="A549" s="145"/>
      <c r="B549" s="147"/>
      <c r="C549" s="195"/>
      <c r="D549" s="121"/>
      <c r="E549" s="146"/>
      <c r="F549" s="146"/>
      <c r="G549" s="146"/>
    </row>
    <row r="550" spans="1:7" ht="12.75">
      <c r="A550" s="145"/>
      <c r="B550" s="147"/>
      <c r="C550" s="195"/>
      <c r="D550" s="121"/>
      <c r="E550" s="146"/>
      <c r="F550" s="146"/>
      <c r="G550" s="146"/>
    </row>
    <row r="551" spans="1:8" ht="12.75">
      <c r="A551" s="18"/>
      <c r="B551" s="15" t="s">
        <v>395</v>
      </c>
      <c r="C551" s="15"/>
      <c r="D551" s="71"/>
      <c r="E551" s="15"/>
      <c r="F551" s="91" t="s">
        <v>221</v>
      </c>
      <c r="G551" s="91"/>
      <c r="H551" s="433" t="s">
        <v>438</v>
      </c>
    </row>
    <row r="552" spans="1:10" ht="33.75">
      <c r="A552" s="435" t="s">
        <v>399</v>
      </c>
      <c r="B552" s="435" t="s">
        <v>400</v>
      </c>
      <c r="C552" s="167" t="s">
        <v>401</v>
      </c>
      <c r="D552" s="123" t="s">
        <v>562</v>
      </c>
      <c r="E552" s="167" t="s">
        <v>402</v>
      </c>
      <c r="F552" s="167" t="s">
        <v>403</v>
      </c>
      <c r="G552" s="167"/>
      <c r="H552" s="438" t="s">
        <v>397</v>
      </c>
      <c r="I552" s="439" t="s">
        <v>404</v>
      </c>
      <c r="J552" s="636"/>
    </row>
    <row r="553" spans="1:10" ht="12.75">
      <c r="A553" s="118">
        <v>4111</v>
      </c>
      <c r="B553" s="116" t="s">
        <v>92</v>
      </c>
      <c r="C553" s="116">
        <v>385529000</v>
      </c>
      <c r="D553" s="35"/>
      <c r="E553" s="233"/>
      <c r="F553" s="437">
        <v>371529000</v>
      </c>
      <c r="G553" s="437"/>
      <c r="H553" s="437"/>
      <c r="I553" s="437">
        <v>14000000</v>
      </c>
      <c r="J553" s="480"/>
    </row>
    <row r="554" spans="1:10" ht="12.75">
      <c r="A554" s="118">
        <v>4120</v>
      </c>
      <c r="B554" s="116" t="s">
        <v>409</v>
      </c>
      <c r="C554" s="116">
        <v>70804000</v>
      </c>
      <c r="D554" s="35"/>
      <c r="E554" s="233"/>
      <c r="F554" s="437">
        <v>66504000</v>
      </c>
      <c r="G554" s="437"/>
      <c r="H554" s="437"/>
      <c r="I554" s="437">
        <v>4300000</v>
      </c>
      <c r="J554" s="480"/>
    </row>
    <row r="555" spans="1:11" ht="12.75">
      <c r="A555" s="198"/>
      <c r="B555" s="96" t="s">
        <v>255</v>
      </c>
      <c r="C555" s="515">
        <v>456333000</v>
      </c>
      <c r="D555" s="95">
        <v>468409800</v>
      </c>
      <c r="E555" s="515">
        <f>SUM(E553:E554)</f>
        <v>0</v>
      </c>
      <c r="F555" s="515">
        <f>SUM(F553:F554)</f>
        <v>438033000</v>
      </c>
      <c r="G555" s="515"/>
      <c r="H555" s="515"/>
      <c r="I555" s="515">
        <f>SUM(I553:I554)</f>
        <v>18300000</v>
      </c>
      <c r="J555" s="654"/>
      <c r="K555" s="132"/>
    </row>
    <row r="556" spans="1:10" ht="22.5">
      <c r="A556" s="198">
        <v>4130</v>
      </c>
      <c r="B556" s="516" t="s">
        <v>563</v>
      </c>
      <c r="C556" s="515">
        <v>180000</v>
      </c>
      <c r="D556" s="95">
        <v>880000</v>
      </c>
      <c r="E556" s="517"/>
      <c r="F556" s="515"/>
      <c r="G556" s="515"/>
      <c r="H556" s="515"/>
      <c r="I556" s="546">
        <v>180000</v>
      </c>
      <c r="J556" s="646"/>
    </row>
    <row r="557" spans="1:10" ht="12.75">
      <c r="A557" s="198">
        <v>4140</v>
      </c>
      <c r="B557" s="96" t="s">
        <v>411</v>
      </c>
      <c r="C557" s="515">
        <v>7450000</v>
      </c>
      <c r="D557" s="95">
        <v>11570000</v>
      </c>
      <c r="E557" s="518">
        <v>6320000</v>
      </c>
      <c r="F557" s="96">
        <v>930000</v>
      </c>
      <c r="G557" s="96"/>
      <c r="H557" s="519"/>
      <c r="I557" s="519">
        <v>200000</v>
      </c>
      <c r="J557" s="655"/>
    </row>
    <row r="558" spans="1:10" ht="22.5">
      <c r="A558" s="198">
        <v>4150</v>
      </c>
      <c r="B558" s="520" t="s">
        <v>410</v>
      </c>
      <c r="C558" s="515">
        <v>7109000</v>
      </c>
      <c r="D558" s="549">
        <f>F558+I558</f>
        <v>10050000</v>
      </c>
      <c r="E558" s="561"/>
      <c r="F558" s="553">
        <v>9350000</v>
      </c>
      <c r="G558" s="553"/>
      <c r="H558" s="552"/>
      <c r="I558" s="552">
        <v>700000</v>
      </c>
      <c r="J558" s="599"/>
    </row>
    <row r="559" spans="1:10" ht="22.5">
      <c r="A559" s="198">
        <v>4160</v>
      </c>
      <c r="B559" s="520" t="s">
        <v>412</v>
      </c>
      <c r="C559" s="515">
        <v>9328000</v>
      </c>
      <c r="D559" s="95">
        <v>10200000</v>
      </c>
      <c r="E559" s="518"/>
      <c r="F559" s="96">
        <v>8608000</v>
      </c>
      <c r="G559" s="96"/>
      <c r="H559" s="519"/>
      <c r="I559" s="519">
        <v>720000</v>
      </c>
      <c r="J559" s="655"/>
    </row>
    <row r="560" spans="1:10" ht="12.75">
      <c r="A560" s="198">
        <v>4210</v>
      </c>
      <c r="B560" s="520" t="s">
        <v>413</v>
      </c>
      <c r="C560" s="96">
        <v>20300000</v>
      </c>
      <c r="D560" s="95">
        <v>25100000</v>
      </c>
      <c r="E560" s="518"/>
      <c r="F560" s="96">
        <v>16000000</v>
      </c>
      <c r="G560" s="96"/>
      <c r="H560" s="519"/>
      <c r="I560" s="515">
        <v>4300000</v>
      </c>
      <c r="J560" s="654"/>
    </row>
    <row r="561" spans="1:10" ht="12.75">
      <c r="A561" s="436">
        <v>4211</v>
      </c>
      <c r="B561" s="116" t="s">
        <v>101</v>
      </c>
      <c r="C561" s="437">
        <v>1600000</v>
      </c>
      <c r="D561" s="35">
        <v>1900000</v>
      </c>
      <c r="E561" s="233">
        <f>D561+D562+D563+D564+D565+D566</f>
        <v>25100000</v>
      </c>
      <c r="F561" s="116">
        <v>1200000</v>
      </c>
      <c r="G561" s="116"/>
      <c r="H561" s="437"/>
      <c r="I561" s="437">
        <v>400000</v>
      </c>
      <c r="J561" s="480"/>
    </row>
    <row r="562" spans="1:10" ht="12.75">
      <c r="A562" s="436">
        <v>4212</v>
      </c>
      <c r="B562" s="116" t="s">
        <v>102</v>
      </c>
      <c r="C562" s="437">
        <v>11000000</v>
      </c>
      <c r="D562" s="35">
        <v>15000000</v>
      </c>
      <c r="E562" s="233"/>
      <c r="F562" s="116">
        <v>10000000</v>
      </c>
      <c r="G562" s="116"/>
      <c r="H562" s="437"/>
      <c r="I562" s="437">
        <v>1000000</v>
      </c>
      <c r="J562" s="480"/>
    </row>
    <row r="563" spans="1:10" ht="12.75">
      <c r="A563" s="436">
        <v>4213</v>
      </c>
      <c r="B563" s="116" t="s">
        <v>103</v>
      </c>
      <c r="C563" s="437">
        <v>3700000</v>
      </c>
      <c r="D563" s="35">
        <v>3900000</v>
      </c>
      <c r="E563" s="233"/>
      <c r="F563" s="116">
        <v>2000000</v>
      </c>
      <c r="G563" s="116"/>
      <c r="H563" s="437"/>
      <c r="I563" s="437">
        <v>1700000</v>
      </c>
      <c r="J563" s="480"/>
    </row>
    <row r="564" spans="1:10" ht="12.75">
      <c r="A564" s="436">
        <v>4214</v>
      </c>
      <c r="B564" s="116" t="s">
        <v>104</v>
      </c>
      <c r="C564" s="437">
        <v>1400000</v>
      </c>
      <c r="D564" s="35">
        <v>2000000</v>
      </c>
      <c r="E564" s="233"/>
      <c r="F564" s="116">
        <v>800000</v>
      </c>
      <c r="G564" s="116"/>
      <c r="H564" s="437"/>
      <c r="I564" s="437">
        <v>600000</v>
      </c>
      <c r="J564" s="480"/>
    </row>
    <row r="565" spans="1:10" ht="12.75">
      <c r="A565" s="434">
        <v>4215</v>
      </c>
      <c r="B565" s="135" t="s">
        <v>169</v>
      </c>
      <c r="C565" s="437">
        <v>2600000</v>
      </c>
      <c r="D565" s="35">
        <v>2000000</v>
      </c>
      <c r="E565" s="233"/>
      <c r="F565" s="116">
        <v>2000000</v>
      </c>
      <c r="G565" s="116"/>
      <c r="H565" s="437"/>
      <c r="I565" s="424">
        <v>600000</v>
      </c>
      <c r="J565" s="599"/>
    </row>
    <row r="566" spans="1:10" ht="12.75">
      <c r="A566" s="99">
        <v>4220</v>
      </c>
      <c r="B566" s="101" t="s">
        <v>414</v>
      </c>
      <c r="C566" s="101">
        <v>300000</v>
      </c>
      <c r="D566" s="100">
        <v>300000</v>
      </c>
      <c r="E566" s="110"/>
      <c r="F566" s="101"/>
      <c r="G566" s="101"/>
      <c r="H566" s="101"/>
      <c r="I566" s="101">
        <v>300000</v>
      </c>
      <c r="J566" s="122"/>
    </row>
    <row r="567" spans="1:10" ht="12.75">
      <c r="A567" s="198">
        <v>4230</v>
      </c>
      <c r="B567" s="515" t="s">
        <v>415</v>
      </c>
      <c r="C567" s="96">
        <v>9600000</v>
      </c>
      <c r="D567" s="95">
        <v>9950000</v>
      </c>
      <c r="E567" s="517"/>
      <c r="F567" s="515">
        <v>1600000</v>
      </c>
      <c r="G567" s="515"/>
      <c r="H567" s="515"/>
      <c r="I567" s="515">
        <v>8000000</v>
      </c>
      <c r="J567" s="654"/>
    </row>
    <row r="568" spans="1:10" ht="12.75">
      <c r="A568" s="118">
        <v>4232</v>
      </c>
      <c r="B568" s="116" t="s">
        <v>106</v>
      </c>
      <c r="C568" s="437">
        <v>420000</v>
      </c>
      <c r="D568" s="35">
        <v>600000</v>
      </c>
      <c r="E568" s="233"/>
      <c r="F568" s="116">
        <v>320000</v>
      </c>
      <c r="G568" s="116"/>
      <c r="H568" s="437"/>
      <c r="I568" s="437">
        <v>100000</v>
      </c>
      <c r="J568" s="480"/>
    </row>
    <row r="569" spans="1:10" ht="12.75">
      <c r="A569" s="118">
        <v>4233</v>
      </c>
      <c r="B569" s="116" t="s">
        <v>107</v>
      </c>
      <c r="C569" s="437">
        <v>1000000</v>
      </c>
      <c r="D569" s="35">
        <v>1000000</v>
      </c>
      <c r="E569" s="233"/>
      <c r="F569" s="116"/>
      <c r="G569" s="116"/>
      <c r="H569" s="437"/>
      <c r="I569" s="437">
        <v>1000000</v>
      </c>
      <c r="J569" s="480"/>
    </row>
    <row r="570" spans="1:10" ht="12.75">
      <c r="A570" s="118">
        <v>4234</v>
      </c>
      <c r="B570" s="116" t="s">
        <v>108</v>
      </c>
      <c r="C570" s="437">
        <v>600000</v>
      </c>
      <c r="D570" s="35">
        <v>600000</v>
      </c>
      <c r="E570" s="233"/>
      <c r="F570" s="116"/>
      <c r="G570" s="116"/>
      <c r="H570" s="437"/>
      <c r="I570" s="437">
        <v>600000</v>
      </c>
      <c r="J570" s="480"/>
    </row>
    <row r="571" spans="1:10" ht="12.75">
      <c r="A571" s="118">
        <v>4235</v>
      </c>
      <c r="B571" s="116" t="s">
        <v>109</v>
      </c>
      <c r="C571" s="437">
        <v>4500000</v>
      </c>
      <c r="D571" s="35">
        <v>5300000</v>
      </c>
      <c r="E571" s="233"/>
      <c r="F571" s="116"/>
      <c r="G571" s="116"/>
      <c r="H571" s="437"/>
      <c r="I571" s="437">
        <v>4500000</v>
      </c>
      <c r="J571" s="480"/>
    </row>
    <row r="572" spans="1:10" ht="12.75">
      <c r="A572" s="118">
        <v>4236</v>
      </c>
      <c r="B572" s="116" t="s">
        <v>110</v>
      </c>
      <c r="C572" s="437">
        <v>2000000</v>
      </c>
      <c r="D572" s="35">
        <v>1600000</v>
      </c>
      <c r="E572" s="233"/>
      <c r="F572" s="116">
        <v>1000000</v>
      </c>
      <c r="G572" s="116"/>
      <c r="H572" s="437"/>
      <c r="I572" s="437">
        <v>1000000</v>
      </c>
      <c r="J572" s="480"/>
    </row>
    <row r="573" spans="1:10" ht="12.75">
      <c r="A573" s="118">
        <v>4237</v>
      </c>
      <c r="B573" s="116" t="s">
        <v>47</v>
      </c>
      <c r="C573" s="437">
        <v>200000</v>
      </c>
      <c r="D573" s="35">
        <v>600000</v>
      </c>
      <c r="E573" s="233"/>
      <c r="F573" s="116"/>
      <c r="G573" s="116"/>
      <c r="H573" s="437"/>
      <c r="I573" s="437">
        <v>200000</v>
      </c>
      <c r="J573" s="480"/>
    </row>
    <row r="574" spans="1:10" ht="12.75">
      <c r="A574" s="118">
        <v>4239</v>
      </c>
      <c r="B574" s="116" t="s">
        <v>48</v>
      </c>
      <c r="C574" s="437">
        <v>880000</v>
      </c>
      <c r="D574" s="35">
        <v>750000</v>
      </c>
      <c r="E574" s="233"/>
      <c r="F574" s="116">
        <v>280000</v>
      </c>
      <c r="G574" s="116"/>
      <c r="H574" s="437"/>
      <c r="I574" s="437">
        <v>600000</v>
      </c>
      <c r="J574" s="480"/>
    </row>
    <row r="575" spans="1:10" ht="12.75">
      <c r="A575" s="198">
        <v>4240</v>
      </c>
      <c r="B575" s="515" t="s">
        <v>416</v>
      </c>
      <c r="C575" s="96">
        <v>5800000</v>
      </c>
      <c r="D575" s="95">
        <v>4053000</v>
      </c>
      <c r="E575" s="517"/>
      <c r="F575" s="515">
        <v>300000</v>
      </c>
      <c r="G575" s="515"/>
      <c r="H575" s="515"/>
      <c r="I575" s="515">
        <v>5500000</v>
      </c>
      <c r="J575" s="654"/>
    </row>
    <row r="576" spans="1:10" ht="12.75">
      <c r="A576" s="118">
        <v>4243</v>
      </c>
      <c r="B576" s="116" t="s">
        <v>111</v>
      </c>
      <c r="C576" s="437">
        <v>5800000</v>
      </c>
      <c r="D576" s="35">
        <v>3800000</v>
      </c>
      <c r="E576" s="233"/>
      <c r="F576" s="116">
        <v>300000</v>
      </c>
      <c r="G576" s="116"/>
      <c r="H576" s="437"/>
      <c r="I576" s="437">
        <v>5500000</v>
      </c>
      <c r="J576" s="480"/>
    </row>
    <row r="577" spans="1:10" ht="12.75">
      <c r="A577" s="118"/>
      <c r="B577" s="116" t="s">
        <v>564</v>
      </c>
      <c r="C577" s="437"/>
      <c r="D577" s="35">
        <v>3000</v>
      </c>
      <c r="E577" s="233"/>
      <c r="F577" s="116"/>
      <c r="G577" s="116"/>
      <c r="H577" s="437"/>
      <c r="I577" s="437"/>
      <c r="J577" s="480"/>
    </row>
    <row r="578" spans="1:10" ht="12.75">
      <c r="A578" s="118"/>
      <c r="B578" s="116" t="s">
        <v>565</v>
      </c>
      <c r="C578" s="437"/>
      <c r="D578" s="35">
        <v>250000</v>
      </c>
      <c r="E578" s="233"/>
      <c r="F578" s="116"/>
      <c r="G578" s="116"/>
      <c r="H578" s="437"/>
      <c r="I578" s="437"/>
      <c r="J578" s="480"/>
    </row>
    <row r="579" spans="1:10" ht="12.75">
      <c r="A579" s="198">
        <v>4250</v>
      </c>
      <c r="B579" s="515" t="s">
        <v>417</v>
      </c>
      <c r="C579" s="96">
        <v>8957000</v>
      </c>
      <c r="D579" s="95">
        <v>5700000</v>
      </c>
      <c r="E579" s="517"/>
      <c r="F579" s="515">
        <v>3130000</v>
      </c>
      <c r="G579" s="515"/>
      <c r="H579" s="515"/>
      <c r="I579" s="515">
        <v>5827000</v>
      </c>
      <c r="J579" s="654"/>
    </row>
    <row r="580" spans="1:10" ht="12.75">
      <c r="A580" s="118">
        <v>4251</v>
      </c>
      <c r="B580" s="116" t="s">
        <v>112</v>
      </c>
      <c r="C580" s="437">
        <v>7057000</v>
      </c>
      <c r="D580" s="35">
        <v>3700000</v>
      </c>
      <c r="E580" s="233"/>
      <c r="F580" s="116">
        <v>2730000</v>
      </c>
      <c r="G580" s="116"/>
      <c r="H580" s="437"/>
      <c r="I580" s="437">
        <v>4327000</v>
      </c>
      <c r="J580" s="480"/>
    </row>
    <row r="581" spans="1:10" ht="12.75">
      <c r="A581" s="118">
        <v>4252</v>
      </c>
      <c r="B581" s="116" t="s">
        <v>113</v>
      </c>
      <c r="C581" s="437">
        <v>1900000</v>
      </c>
      <c r="D581" s="35">
        <v>2000000</v>
      </c>
      <c r="E581" s="233"/>
      <c r="F581" s="116">
        <v>400000</v>
      </c>
      <c r="G581" s="116"/>
      <c r="H581" s="437"/>
      <c r="I581" s="437">
        <v>1500000</v>
      </c>
      <c r="J581" s="480"/>
    </row>
    <row r="582" spans="1:10" ht="12.75">
      <c r="A582" s="198">
        <v>4260</v>
      </c>
      <c r="B582" s="515" t="s">
        <v>418</v>
      </c>
      <c r="C582" s="96">
        <v>66163000</v>
      </c>
      <c r="D582" s="96">
        <f>D583+D584+D585+D586+D593+D594</f>
        <v>55145000</v>
      </c>
      <c r="E582" s="517"/>
      <c r="F582" s="515">
        <v>51041000</v>
      </c>
      <c r="G582" s="515"/>
      <c r="H582" s="515"/>
      <c r="I582" s="515">
        <v>15122000</v>
      </c>
      <c r="J582" s="654"/>
    </row>
    <row r="583" spans="1:10" ht="12.75">
      <c r="A583" s="107">
        <v>4261</v>
      </c>
      <c r="B583" s="135" t="s">
        <v>114</v>
      </c>
      <c r="C583" s="424">
        <v>5000000</v>
      </c>
      <c r="D583" s="100">
        <v>4800000</v>
      </c>
      <c r="E583" s="523"/>
      <c r="F583" s="135">
        <v>3800000</v>
      </c>
      <c r="G583" s="135"/>
      <c r="H583" s="424"/>
      <c r="I583" s="424">
        <v>1200000</v>
      </c>
      <c r="J583" s="599"/>
    </row>
    <row r="584" spans="1:10" ht="12.75">
      <c r="A584" s="107">
        <v>4263</v>
      </c>
      <c r="B584" s="135" t="s">
        <v>115</v>
      </c>
      <c r="C584" s="424">
        <v>1500000</v>
      </c>
      <c r="D584" s="100">
        <v>800000</v>
      </c>
      <c r="E584" s="523"/>
      <c r="F584" s="135"/>
      <c r="G584" s="135"/>
      <c r="H584" s="424"/>
      <c r="I584" s="424">
        <v>1500000</v>
      </c>
      <c r="J584" s="599"/>
    </row>
    <row r="585" spans="1:10" ht="12.75">
      <c r="A585" s="107">
        <v>4264</v>
      </c>
      <c r="B585" s="135" t="s">
        <v>419</v>
      </c>
      <c r="C585" s="424">
        <v>19762000</v>
      </c>
      <c r="D585" s="100">
        <v>15845000</v>
      </c>
      <c r="E585" s="523"/>
      <c r="F585" s="135">
        <v>19762000</v>
      </c>
      <c r="G585" s="135"/>
      <c r="H585" s="424"/>
      <c r="I585" s="424"/>
      <c r="J585" s="599"/>
    </row>
    <row r="586" spans="1:10" ht="12.75">
      <c r="A586" s="107"/>
      <c r="B586" s="130" t="s">
        <v>566</v>
      </c>
      <c r="C586" s="130">
        <v>35079000</v>
      </c>
      <c r="D586" s="138">
        <v>30000000</v>
      </c>
      <c r="E586" s="524"/>
      <c r="F586" s="130"/>
      <c r="G586" s="130"/>
      <c r="H586" s="130"/>
      <c r="I586" s="130"/>
      <c r="J586" s="390"/>
    </row>
    <row r="587" spans="1:10" ht="12.75">
      <c r="A587" s="118">
        <v>426711</v>
      </c>
      <c r="B587" s="116" t="s">
        <v>420</v>
      </c>
      <c r="C587" s="84">
        <v>18451000</v>
      </c>
      <c r="D587" s="35">
        <v>15500000</v>
      </c>
      <c r="E587" s="233"/>
      <c r="F587" s="116">
        <v>10051000</v>
      </c>
      <c r="G587" s="116"/>
      <c r="H587" s="437"/>
      <c r="I587" s="585">
        <v>3000000</v>
      </c>
      <c r="J587" s="657"/>
    </row>
    <row r="588" spans="1:10" ht="12.75">
      <c r="A588" s="91">
        <v>426751</v>
      </c>
      <c r="B588" s="116" t="s">
        <v>567</v>
      </c>
      <c r="C588" s="116"/>
      <c r="D588" s="84">
        <v>2000000</v>
      </c>
      <c r="E588" s="116"/>
      <c r="F588" s="116"/>
      <c r="G588" s="116"/>
      <c r="H588" s="437"/>
      <c r="I588" s="437"/>
      <c r="J588" s="480"/>
    </row>
    <row r="589" spans="1:8" ht="12.75">
      <c r="A589" s="18"/>
      <c r="B589" s="15" t="s">
        <v>395</v>
      </c>
      <c r="C589" s="15"/>
      <c r="D589" s="71"/>
      <c r="E589" s="15"/>
      <c r="F589" s="91" t="s">
        <v>221</v>
      </c>
      <c r="G589" s="91"/>
      <c r="H589" s="433" t="s">
        <v>439</v>
      </c>
    </row>
    <row r="590" spans="1:10" ht="33.75">
      <c r="A590" s="435" t="s">
        <v>399</v>
      </c>
      <c r="B590" s="435" t="s">
        <v>400</v>
      </c>
      <c r="C590" s="167" t="s">
        <v>401</v>
      </c>
      <c r="D590" s="123" t="s">
        <v>562</v>
      </c>
      <c r="E590" s="167" t="s">
        <v>402</v>
      </c>
      <c r="F590" s="167" t="s">
        <v>403</v>
      </c>
      <c r="G590" s="167"/>
      <c r="H590" s="438" t="s">
        <v>397</v>
      </c>
      <c r="I590" s="439" t="s">
        <v>404</v>
      </c>
      <c r="J590" s="636"/>
    </row>
    <row r="591" spans="1:10" ht="12.75">
      <c r="A591" s="118">
        <v>426713</v>
      </c>
      <c r="B591" s="116" t="s">
        <v>422</v>
      </c>
      <c r="C591" s="437">
        <v>3200000</v>
      </c>
      <c r="D591" s="35">
        <v>3200000</v>
      </c>
      <c r="E591" s="233"/>
      <c r="F591" s="116">
        <v>2400000</v>
      </c>
      <c r="G591" s="116"/>
      <c r="H591" s="437"/>
      <c r="I591" s="437">
        <v>800000</v>
      </c>
      <c r="J591" s="480"/>
    </row>
    <row r="592" spans="1:10" ht="12.75">
      <c r="A592" s="118">
        <v>426751</v>
      </c>
      <c r="B592" s="116" t="s">
        <v>421</v>
      </c>
      <c r="C592" s="84">
        <v>13428000</v>
      </c>
      <c r="D592" s="35">
        <v>12300000</v>
      </c>
      <c r="E592" s="233"/>
      <c r="F592" s="116">
        <f>11028000</f>
        <v>11028000</v>
      </c>
      <c r="G592" s="116"/>
      <c r="H592" s="437"/>
      <c r="I592" s="585">
        <v>1200000</v>
      </c>
      <c r="J592" s="657"/>
    </row>
    <row r="593" spans="1:10" ht="12.75">
      <c r="A593" s="99">
        <v>4268</v>
      </c>
      <c r="B593" s="101" t="s">
        <v>118</v>
      </c>
      <c r="C593" s="101">
        <v>2000000</v>
      </c>
      <c r="D593" s="100">
        <v>1500000</v>
      </c>
      <c r="E593" s="110"/>
      <c r="F593" s="101">
        <v>2000000</v>
      </c>
      <c r="G593" s="101"/>
      <c r="H593" s="101"/>
      <c r="I593" s="101"/>
      <c r="J593" s="122"/>
    </row>
    <row r="594" spans="1:10" ht="12.75">
      <c r="A594" s="99">
        <v>4269</v>
      </c>
      <c r="B594" s="101" t="s">
        <v>119</v>
      </c>
      <c r="C594" s="101">
        <v>2822000</v>
      </c>
      <c r="D594" s="100">
        <v>2200000</v>
      </c>
      <c r="E594" s="110"/>
      <c r="F594" s="101">
        <v>2000000</v>
      </c>
      <c r="G594" s="101"/>
      <c r="H594" s="101"/>
      <c r="I594" s="101">
        <v>822000</v>
      </c>
      <c r="J594" s="122"/>
    </row>
    <row r="595" spans="1:10" ht="12.75">
      <c r="A595" s="198">
        <v>4300</v>
      </c>
      <c r="B595" s="96" t="s">
        <v>423</v>
      </c>
      <c r="C595" s="96">
        <v>400000</v>
      </c>
      <c r="D595" s="95">
        <v>400000</v>
      </c>
      <c r="E595" s="518"/>
      <c r="F595" s="96"/>
      <c r="G595" s="96"/>
      <c r="H595" s="96"/>
      <c r="I595" s="96">
        <v>400000</v>
      </c>
      <c r="J595" s="656"/>
    </row>
    <row r="596" spans="1:10" ht="22.5">
      <c r="A596" s="198">
        <v>4400</v>
      </c>
      <c r="B596" s="520" t="s">
        <v>424</v>
      </c>
      <c r="C596" s="96">
        <v>40000</v>
      </c>
      <c r="D596" s="95">
        <v>40000</v>
      </c>
      <c r="E596" s="518"/>
      <c r="F596" s="96"/>
      <c r="G596" s="96"/>
      <c r="H596" s="96"/>
      <c r="I596" s="96">
        <v>40000</v>
      </c>
      <c r="J596" s="656"/>
    </row>
    <row r="597" spans="1:10" ht="12.75">
      <c r="A597" s="198">
        <v>4800</v>
      </c>
      <c r="B597" s="520" t="s">
        <v>425</v>
      </c>
      <c r="C597" s="96">
        <v>2800000</v>
      </c>
      <c r="D597" s="95">
        <v>2900000</v>
      </c>
      <c r="E597" s="518"/>
      <c r="F597" s="96">
        <f>F598</f>
        <v>300000</v>
      </c>
      <c r="G597" s="96"/>
      <c r="H597" s="96"/>
      <c r="I597" s="96">
        <f>I598</f>
        <v>2500000</v>
      </c>
      <c r="J597" s="656"/>
    </row>
    <row r="598" spans="1:10" ht="12.75">
      <c r="A598" s="118">
        <v>4820</v>
      </c>
      <c r="B598" s="116" t="s">
        <v>426</v>
      </c>
      <c r="C598" s="90">
        <v>2800000</v>
      </c>
      <c r="D598" s="35">
        <v>2900000</v>
      </c>
      <c r="E598" s="233"/>
      <c r="F598" s="116">
        <v>300000</v>
      </c>
      <c r="G598" s="116"/>
      <c r="H598" s="437"/>
      <c r="I598" s="437">
        <v>2500000</v>
      </c>
      <c r="J598" s="480"/>
    </row>
    <row r="599" spans="1:10" ht="12.75">
      <c r="A599" s="118"/>
      <c r="B599" s="106" t="s">
        <v>449</v>
      </c>
      <c r="C599" s="106">
        <v>594760000</v>
      </c>
      <c r="D599" s="106">
        <f>D597+D596+D595+D582+D579+D575+D567+D566+D560+D559+D558+D557+D556+D555</f>
        <v>604697800</v>
      </c>
      <c r="E599" s="106">
        <f>E597+E596+E595+E582+E579+E575+E567+E560+E559+E558+E557+E556+E555+E566</f>
        <v>6320000</v>
      </c>
      <c r="F599" s="106">
        <f>F597+F596+F595+F582+F579+F575+F567+F560+F559+F558+F557+F556+F555+F566</f>
        <v>529292000</v>
      </c>
      <c r="G599" s="106"/>
      <c r="H599" s="106">
        <f>H597+H596+H595+H582+H579+H575+H567+H560+H559+H558+H557+H556+H555+H566</f>
        <v>0</v>
      </c>
      <c r="I599" s="106">
        <f>I597+I596+I595+I582+I579+I575+I567+I560+I559+I558+I557+I556+I555+I566</f>
        <v>62089000</v>
      </c>
      <c r="J599" s="125"/>
    </row>
    <row r="600" spans="1:10" ht="12.75">
      <c r="A600" s="91"/>
      <c r="B600" s="456"/>
      <c r="C600" s="521">
        <f>C597+C596+C595+C582+C579+C575+C567+C566+C560+C559+C558+C557+C556+C555</f>
        <v>594760000</v>
      </c>
      <c r="D600" s="521">
        <f>D597+D596+D595+D582+D579+D575+D567+D566+D560+D559+D558+D557+D556+D555</f>
        <v>604697800</v>
      </c>
      <c r="E600" s="514"/>
      <c r="F600" s="514"/>
      <c r="G600" s="514"/>
      <c r="H600" s="514"/>
      <c r="I600" s="514"/>
      <c r="J600" s="514"/>
    </row>
    <row r="601" spans="2:10" ht="12.75">
      <c r="B601" s="455" t="s">
        <v>437</v>
      </c>
      <c r="C601" s="522">
        <f>C600-C599</f>
        <v>0</v>
      </c>
      <c r="D601" s="92">
        <v>587647800</v>
      </c>
      <c r="E601" s="522">
        <f>D600-D601</f>
        <v>17050000</v>
      </c>
      <c r="F601" s="50"/>
      <c r="G601" s="50"/>
      <c r="H601" s="50"/>
      <c r="I601" s="50"/>
      <c r="J601" s="50"/>
    </row>
    <row r="602" spans="1:10" ht="33.75">
      <c r="A602" s="435" t="s">
        <v>399</v>
      </c>
      <c r="B602" s="435" t="s">
        <v>400</v>
      </c>
      <c r="C602" s="167" t="s">
        <v>401</v>
      </c>
      <c r="D602" s="123" t="s">
        <v>562</v>
      </c>
      <c r="E602" s="167" t="s">
        <v>402</v>
      </c>
      <c r="F602" s="167" t="s">
        <v>403</v>
      </c>
      <c r="G602" s="167"/>
      <c r="H602" s="438" t="s">
        <v>397</v>
      </c>
      <c r="I602" s="439" t="s">
        <v>404</v>
      </c>
      <c r="J602" s="636"/>
    </row>
    <row r="603" spans="1:10" ht="12.75">
      <c r="A603" s="438">
        <v>51110</v>
      </c>
      <c r="B603" s="438" t="s">
        <v>432</v>
      </c>
      <c r="C603" s="431">
        <v>14618350</v>
      </c>
      <c r="D603" s="35"/>
      <c r="E603" s="431"/>
      <c r="F603" s="431"/>
      <c r="G603" s="431"/>
      <c r="H603" s="431"/>
      <c r="I603" s="431"/>
      <c r="J603" s="640"/>
    </row>
    <row r="604" spans="1:10" ht="12.75">
      <c r="A604" s="436"/>
      <c r="B604" s="34" t="s">
        <v>448</v>
      </c>
      <c r="C604" s="431">
        <v>3876350</v>
      </c>
      <c r="D604" s="35"/>
      <c r="E604" s="424"/>
      <c r="F604" s="424"/>
      <c r="G604" s="424"/>
      <c r="H604" s="424"/>
      <c r="I604" s="424"/>
      <c r="J604" s="599"/>
    </row>
    <row r="605" spans="1:10" ht="12.75">
      <c r="A605" s="436"/>
      <c r="B605" s="436" t="s">
        <v>442</v>
      </c>
      <c r="C605" s="431">
        <f>E605+F605+H605+I605</f>
        <v>0</v>
      </c>
      <c r="D605" s="35"/>
      <c r="E605" s="424"/>
      <c r="F605" s="424"/>
      <c r="G605" s="424"/>
      <c r="H605" s="424"/>
      <c r="I605" s="424"/>
      <c r="J605" s="599"/>
    </row>
    <row r="606" spans="1:10" ht="12.75">
      <c r="A606" s="436"/>
      <c r="B606" s="436" t="s">
        <v>443</v>
      </c>
      <c r="C606" s="431">
        <v>2500000</v>
      </c>
      <c r="D606" s="35"/>
      <c r="E606" s="424"/>
      <c r="F606" s="424"/>
      <c r="G606" s="424"/>
      <c r="H606" s="424"/>
      <c r="I606" s="424"/>
      <c r="J606" s="599"/>
    </row>
    <row r="607" spans="1:10" ht="12.75">
      <c r="A607" s="436"/>
      <c r="B607" s="436" t="s">
        <v>444</v>
      </c>
      <c r="C607" s="431">
        <f>E607+F607+H607+I607</f>
        <v>0</v>
      </c>
      <c r="D607" s="35"/>
      <c r="E607" s="424"/>
      <c r="F607" s="424"/>
      <c r="G607" s="424"/>
      <c r="H607" s="424"/>
      <c r="I607" s="424"/>
      <c r="J607" s="599"/>
    </row>
    <row r="608" spans="1:10" ht="12.75">
      <c r="A608" s="436"/>
      <c r="B608" s="436" t="s">
        <v>445</v>
      </c>
      <c r="C608" s="431">
        <f>E608+F608+H608+I608</f>
        <v>0</v>
      </c>
      <c r="D608" s="35"/>
      <c r="E608" s="424"/>
      <c r="F608" s="424"/>
      <c r="G608" s="424"/>
      <c r="H608" s="424"/>
      <c r="I608" s="424"/>
      <c r="J608" s="599"/>
    </row>
    <row r="609" spans="1:10" ht="12.75">
      <c r="A609" s="436"/>
      <c r="B609" s="436" t="s">
        <v>447</v>
      </c>
      <c r="C609" s="431">
        <v>2900000</v>
      </c>
      <c r="D609" s="35"/>
      <c r="E609" s="424"/>
      <c r="F609" s="424"/>
      <c r="G609" s="424"/>
      <c r="H609" s="424"/>
      <c r="I609" s="424"/>
      <c r="J609" s="599"/>
    </row>
    <row r="610" spans="1:10" ht="12.75">
      <c r="A610" s="436"/>
      <c r="B610" s="34" t="s">
        <v>452</v>
      </c>
      <c r="C610" s="431">
        <v>4302000</v>
      </c>
      <c r="D610" s="35"/>
      <c r="E610" s="424"/>
      <c r="F610" s="424"/>
      <c r="G610" s="424"/>
      <c r="H610" s="424"/>
      <c r="I610" s="424"/>
      <c r="J610" s="599"/>
    </row>
    <row r="611" spans="1:10" ht="22.5">
      <c r="A611" s="436"/>
      <c r="B611" s="474" t="s">
        <v>451</v>
      </c>
      <c r="C611" s="431">
        <v>1040000</v>
      </c>
      <c r="D611" s="35"/>
      <c r="E611" s="424"/>
      <c r="F611" s="424"/>
      <c r="G611" s="424"/>
      <c r="H611" s="424"/>
      <c r="I611" s="424"/>
      <c r="J611" s="599"/>
    </row>
    <row r="612" spans="1:10" ht="12.75">
      <c r="A612" s="438">
        <v>5120</v>
      </c>
      <c r="B612" s="438" t="s">
        <v>433</v>
      </c>
      <c r="C612" s="431">
        <v>25615000</v>
      </c>
      <c r="D612" s="35"/>
      <c r="E612" s="431"/>
      <c r="F612" s="431"/>
      <c r="G612" s="431"/>
      <c r="H612" s="431"/>
      <c r="I612" s="431"/>
      <c r="J612" s="640"/>
    </row>
    <row r="613" spans="1:10" ht="12.75">
      <c r="A613" s="436"/>
      <c r="B613" s="436" t="s">
        <v>434</v>
      </c>
      <c r="C613" s="431">
        <v>3120000</v>
      </c>
      <c r="D613" s="35"/>
      <c r="E613" s="424"/>
      <c r="F613" s="424"/>
      <c r="G613" s="424"/>
      <c r="H613" s="424"/>
      <c r="I613" s="424"/>
      <c r="J613" s="599"/>
    </row>
    <row r="614" spans="1:10" ht="12.75">
      <c r="A614" s="436"/>
      <c r="B614" s="436" t="s">
        <v>435</v>
      </c>
      <c r="C614" s="431">
        <v>8170000</v>
      </c>
      <c r="D614" s="35"/>
      <c r="E614" s="424"/>
      <c r="F614" s="424"/>
      <c r="G614" s="424"/>
      <c r="H614" s="424"/>
      <c r="I614" s="424"/>
      <c r="J614" s="599"/>
    </row>
    <row r="615" spans="1:10" ht="12.75">
      <c r="A615" s="436"/>
      <c r="B615" s="436" t="s">
        <v>436</v>
      </c>
      <c r="C615" s="431">
        <v>3755000</v>
      </c>
      <c r="D615" s="35"/>
      <c r="E615" s="424"/>
      <c r="F615" s="424"/>
      <c r="G615" s="424"/>
      <c r="H615" s="424"/>
      <c r="I615" s="424"/>
      <c r="J615" s="599"/>
    </row>
    <row r="616" spans="1:10" ht="12.75">
      <c r="A616" s="436"/>
      <c r="B616" s="436" t="s">
        <v>446</v>
      </c>
      <c r="C616" s="431">
        <v>7400000</v>
      </c>
      <c r="D616" s="35"/>
      <c r="E616" s="424"/>
      <c r="F616" s="424"/>
      <c r="G616" s="424"/>
      <c r="H616" s="424"/>
      <c r="I616" s="424"/>
      <c r="J616" s="599"/>
    </row>
    <row r="617" spans="1:10" ht="12.75">
      <c r="A617" s="436"/>
      <c r="B617" s="34" t="s">
        <v>453</v>
      </c>
      <c r="C617" s="431">
        <v>3170000</v>
      </c>
      <c r="D617" s="35"/>
      <c r="E617" s="424"/>
      <c r="F617" s="424"/>
      <c r="G617" s="424"/>
      <c r="H617" s="424"/>
      <c r="I617" s="424"/>
      <c r="J617" s="599"/>
    </row>
    <row r="618" spans="1:10" ht="12.75">
      <c r="A618" s="436"/>
      <c r="B618" s="452" t="s">
        <v>357</v>
      </c>
      <c r="C618" s="475">
        <v>40233350</v>
      </c>
      <c r="D618" s="525"/>
      <c r="E618" s="475"/>
      <c r="F618" s="475"/>
      <c r="G618" s="475"/>
      <c r="H618" s="475"/>
      <c r="I618" s="475"/>
      <c r="J618" s="641"/>
    </row>
    <row r="619" spans="3:4" ht="12.75">
      <c r="C619" s="479"/>
      <c r="D619" s="27"/>
    </row>
    <row r="620" ht="12.75">
      <c r="D620" s="27"/>
    </row>
    <row r="621" spans="2:10" ht="12.75">
      <c r="B621" s="477" t="s">
        <v>454</v>
      </c>
      <c r="C621" s="477">
        <f aca="true" t="shared" si="27" ref="C621:I621">C618+C599</f>
        <v>634993350</v>
      </c>
      <c r="D621" s="477">
        <f t="shared" si="27"/>
        <v>604697800</v>
      </c>
      <c r="E621" s="477">
        <f t="shared" si="27"/>
        <v>6320000</v>
      </c>
      <c r="F621" s="477">
        <f t="shared" si="27"/>
        <v>529292000</v>
      </c>
      <c r="G621" s="477"/>
      <c r="H621" s="477">
        <f t="shared" si="27"/>
        <v>0</v>
      </c>
      <c r="I621" s="477">
        <f t="shared" si="27"/>
        <v>62089000</v>
      </c>
      <c r="J621" s="642"/>
    </row>
    <row r="625" spans="1:10" ht="12.75">
      <c r="A625" s="27"/>
      <c r="B625" s="681" t="s">
        <v>658</v>
      </c>
      <c r="C625" s="681"/>
      <c r="D625" s="681"/>
      <c r="E625" s="681"/>
      <c r="F625" s="681"/>
      <c r="G625" s="681"/>
      <c r="H625" s="681"/>
      <c r="I625" s="681"/>
      <c r="J625" s="535"/>
    </row>
    <row r="626" spans="1:10" ht="12.75">
      <c r="A626" s="27"/>
      <c r="B626" s="681"/>
      <c r="C626" s="681" t="s">
        <v>659</v>
      </c>
      <c r="D626" s="681"/>
      <c r="E626" s="681"/>
      <c r="F626" s="681"/>
      <c r="G626" s="681"/>
      <c r="H626" s="681"/>
      <c r="I626" s="681"/>
      <c r="J626" s="535"/>
    </row>
    <row r="627" spans="1:10" ht="12.75">
      <c r="A627" s="223" t="s">
        <v>561</v>
      </c>
      <c r="B627" s="223"/>
      <c r="C627" s="389"/>
      <c r="D627" s="389"/>
      <c r="E627" s="389"/>
      <c r="F627" s="113"/>
      <c r="G627" s="113"/>
      <c r="H627" s="120"/>
      <c r="I627" s="11"/>
      <c r="J627" s="11"/>
    </row>
    <row r="628" spans="1:10" ht="12.75">
      <c r="A628" s="148" t="s">
        <v>407</v>
      </c>
      <c r="B628" s="148"/>
      <c r="C628" s="148"/>
      <c r="D628" s="149"/>
      <c r="E628" s="149"/>
      <c r="F628" s="149"/>
      <c r="G628" s="149"/>
      <c r="I628" s="149" t="s">
        <v>220</v>
      </c>
      <c r="J628" s="149"/>
    </row>
    <row r="629" spans="1:13" ht="33.75">
      <c r="A629" s="435" t="s">
        <v>399</v>
      </c>
      <c r="B629" s="435" t="s">
        <v>400</v>
      </c>
      <c r="C629" s="167" t="s">
        <v>401</v>
      </c>
      <c r="D629" s="123" t="s">
        <v>580</v>
      </c>
      <c r="E629" s="167" t="s">
        <v>402</v>
      </c>
      <c r="F629" s="167" t="s">
        <v>403</v>
      </c>
      <c r="G629" s="167"/>
      <c r="H629" s="438" t="s">
        <v>397</v>
      </c>
      <c r="I629" s="439" t="s">
        <v>404</v>
      </c>
      <c r="J629" s="636"/>
      <c r="K629" s="27"/>
      <c r="L629" s="27"/>
      <c r="M629" s="27"/>
    </row>
    <row r="630" spans="1:13" ht="13.5" customHeight="1">
      <c r="A630" s="428">
        <v>7330</v>
      </c>
      <c r="B630" s="427" t="s">
        <v>396</v>
      </c>
      <c r="C630" s="440">
        <f>E630+F630+H630+I630+10302000</f>
        <v>13978350</v>
      </c>
      <c r="D630" s="37">
        <f>13978350-10302000</f>
        <v>3676350</v>
      </c>
      <c r="E630" s="426">
        <v>3676350</v>
      </c>
      <c r="F630" s="426"/>
      <c r="G630" s="426"/>
      <c r="H630" s="437"/>
      <c r="I630" s="437"/>
      <c r="J630" s="658"/>
      <c r="K630" s="758" t="s">
        <v>595</v>
      </c>
      <c r="L630" s="27"/>
      <c r="M630" s="27"/>
    </row>
    <row r="631" spans="1:13" ht="12.75">
      <c r="A631" s="428">
        <v>7400</v>
      </c>
      <c r="B631" s="427" t="s">
        <v>397</v>
      </c>
      <c r="C631" s="440">
        <f>E631+F631+H631+I631</f>
        <v>2000000</v>
      </c>
      <c r="D631" s="37">
        <v>2000000</v>
      </c>
      <c r="E631" s="426"/>
      <c r="F631" s="426"/>
      <c r="G631" s="426"/>
      <c r="H631" s="441">
        <v>2000000</v>
      </c>
      <c r="I631" s="437"/>
      <c r="J631" s="658"/>
      <c r="K631" s="758"/>
      <c r="L631" s="27"/>
      <c r="M631" s="27"/>
    </row>
    <row r="632" spans="1:13" ht="12.75">
      <c r="A632" s="428">
        <v>7410</v>
      </c>
      <c r="B632" s="427" t="s">
        <v>405</v>
      </c>
      <c r="C632" s="440">
        <f>E632+F632+H632+I632</f>
        <v>700000</v>
      </c>
      <c r="D632" s="37">
        <v>700000</v>
      </c>
      <c r="E632" s="426"/>
      <c r="F632" s="426"/>
      <c r="G632" s="426"/>
      <c r="H632" s="441"/>
      <c r="I632" s="442">
        <v>700000</v>
      </c>
      <c r="J632" s="659"/>
      <c r="K632" s="758"/>
      <c r="L632" s="27"/>
      <c r="M632" s="27"/>
    </row>
    <row r="633" spans="1:13" ht="12.75">
      <c r="A633" s="158">
        <v>74212101</v>
      </c>
      <c r="B633" s="158" t="s">
        <v>140</v>
      </c>
      <c r="C633" s="443">
        <v>1760000</v>
      </c>
      <c r="D633" s="35"/>
      <c r="E633" s="101"/>
      <c r="F633" s="101"/>
      <c r="G633" s="101"/>
      <c r="H633" s="437"/>
      <c r="I633" s="159"/>
      <c r="J633" s="122"/>
      <c r="K633" s="27"/>
      <c r="L633" s="27"/>
      <c r="M633" s="27"/>
    </row>
    <row r="634" spans="1:13" ht="12.75">
      <c r="A634" s="99">
        <v>74212102</v>
      </c>
      <c r="B634" s="99" t="s">
        <v>142</v>
      </c>
      <c r="C634" s="443">
        <v>14400000</v>
      </c>
      <c r="D634" s="35"/>
      <c r="E634" s="101"/>
      <c r="F634" s="101"/>
      <c r="G634" s="101"/>
      <c r="H634" s="437"/>
      <c r="I634" s="101"/>
      <c r="J634" s="122"/>
      <c r="K634" s="27"/>
      <c r="L634" s="27"/>
      <c r="M634" s="27"/>
    </row>
    <row r="635" spans="1:13" ht="12.75">
      <c r="A635" s="99">
        <v>74212111</v>
      </c>
      <c r="B635" s="99" t="s">
        <v>141</v>
      </c>
      <c r="C635" s="443">
        <v>500000</v>
      </c>
      <c r="D635" s="35"/>
      <c r="E635" s="101"/>
      <c r="F635" s="101"/>
      <c r="G635" s="101"/>
      <c r="H635" s="437"/>
      <c r="I635" s="101"/>
      <c r="J635" s="122"/>
      <c r="K635" s="27"/>
      <c r="L635" s="27"/>
      <c r="M635" s="27"/>
    </row>
    <row r="636" spans="1:13" ht="12.75">
      <c r="A636" s="99">
        <v>74212112</v>
      </c>
      <c r="B636" s="99" t="s">
        <v>143</v>
      </c>
      <c r="C636" s="443">
        <v>500000</v>
      </c>
      <c r="D636" s="35"/>
      <c r="E636" s="101"/>
      <c r="F636" s="101"/>
      <c r="G636" s="101"/>
      <c r="H636" s="437"/>
      <c r="I636" s="101"/>
      <c r="J636" s="122"/>
      <c r="K636" s="27"/>
      <c r="L636" s="27"/>
      <c r="M636" s="27"/>
    </row>
    <row r="637" spans="1:13" ht="12.75">
      <c r="A637" s="99"/>
      <c r="B637" s="137" t="s">
        <v>581</v>
      </c>
      <c r="C637" s="391">
        <f>C633+C634+C635+C636</f>
        <v>17160000</v>
      </c>
      <c r="D637" s="37">
        <f>15800000/10*12</f>
        <v>18960000</v>
      </c>
      <c r="E637" s="130"/>
      <c r="F637" s="130"/>
      <c r="G637" s="130"/>
      <c r="H637" s="587"/>
      <c r="I637" s="130">
        <v>18960000</v>
      </c>
      <c r="J637" s="390"/>
      <c r="K637" s="27"/>
      <c r="L637" s="27"/>
      <c r="M637" s="27"/>
    </row>
    <row r="638" spans="1:13" ht="12.75">
      <c r="A638" s="99">
        <v>7421216</v>
      </c>
      <c r="B638" s="99" t="s">
        <v>145</v>
      </c>
      <c r="C638" s="443">
        <v>320000</v>
      </c>
      <c r="D638" s="35">
        <v>1350000</v>
      </c>
      <c r="E638" s="101"/>
      <c r="F638" s="101"/>
      <c r="G638" s="101"/>
      <c r="H638" s="437"/>
      <c r="I638" s="101">
        <v>1350000</v>
      </c>
      <c r="J638" s="122"/>
      <c r="K638" s="27"/>
      <c r="L638" s="27"/>
      <c r="M638" s="27"/>
    </row>
    <row r="639" spans="1:13" ht="12.75">
      <c r="A639" s="99">
        <v>7421217</v>
      </c>
      <c r="B639" s="99" t="s">
        <v>146</v>
      </c>
      <c r="C639" s="443">
        <v>34732000</v>
      </c>
      <c r="D639" s="611">
        <f>E639+F639+G639+H639+I639</f>
        <v>19169200</v>
      </c>
      <c r="E639" s="101"/>
      <c r="F639" s="101"/>
      <c r="G639" s="101"/>
      <c r="H639" s="437"/>
      <c r="I639" s="609">
        <f>34169200-15000000</f>
        <v>19169200</v>
      </c>
      <c r="J639" s="647" t="s">
        <v>657</v>
      </c>
      <c r="K639" s="27">
        <f>18500000+5000000</f>
        <v>23500000</v>
      </c>
      <c r="L639" s="27"/>
      <c r="M639" s="27"/>
    </row>
    <row r="640" spans="1:13" ht="12.75">
      <c r="A640" s="99">
        <v>74212171</v>
      </c>
      <c r="B640" s="99" t="s">
        <v>147</v>
      </c>
      <c r="C640" s="443">
        <v>9240000</v>
      </c>
      <c r="D640" s="35">
        <f>5994000/10*12</f>
        <v>7192800</v>
      </c>
      <c r="E640" s="101"/>
      <c r="F640" s="101"/>
      <c r="G640" s="101"/>
      <c r="H640" s="437"/>
      <c r="I640" s="135">
        <v>7192800</v>
      </c>
      <c r="J640" s="136"/>
      <c r="K640" s="479">
        <f>I639-K639</f>
        <v>-4330800</v>
      </c>
      <c r="L640" s="27"/>
      <c r="M640" s="27"/>
    </row>
    <row r="641" spans="1:13" ht="12.75">
      <c r="A641" s="99">
        <v>742161</v>
      </c>
      <c r="B641" s="99" t="s">
        <v>148</v>
      </c>
      <c r="C641" s="443">
        <v>320000</v>
      </c>
      <c r="D641" s="35">
        <v>100000</v>
      </c>
      <c r="E641" s="101"/>
      <c r="F641" s="101"/>
      <c r="G641" s="101"/>
      <c r="H641" s="437"/>
      <c r="I641" s="101">
        <v>100000</v>
      </c>
      <c r="J641" s="122"/>
      <c r="K641" s="27"/>
      <c r="L641" s="27"/>
      <c r="M641" s="27"/>
    </row>
    <row r="642" spans="1:13" ht="12.75">
      <c r="A642" s="137">
        <v>7421</v>
      </c>
      <c r="B642" s="137" t="s">
        <v>149</v>
      </c>
      <c r="C642" s="440">
        <v>61772000</v>
      </c>
      <c r="D642" s="37">
        <f>D637+D638+D639+D640+D641</f>
        <v>46772000</v>
      </c>
      <c r="E642" s="101"/>
      <c r="F642" s="106"/>
      <c r="G642" s="106"/>
      <c r="H642" s="437"/>
      <c r="I642" s="441">
        <f>SUM(I637:I641)</f>
        <v>46772000</v>
      </c>
      <c r="J642" s="637"/>
      <c r="K642" s="27"/>
      <c r="L642" s="27"/>
      <c r="M642" s="27"/>
    </row>
    <row r="643" spans="1:13" ht="12.75">
      <c r="A643" s="137">
        <v>7451</v>
      </c>
      <c r="B643" s="137" t="s">
        <v>151</v>
      </c>
      <c r="C643" s="440">
        <v>1200000</v>
      </c>
      <c r="D643" s="37">
        <v>400000</v>
      </c>
      <c r="E643" s="101"/>
      <c r="F643" s="106"/>
      <c r="G643" s="106"/>
      <c r="H643" s="437"/>
      <c r="I643" s="441">
        <v>400000</v>
      </c>
      <c r="J643" s="637"/>
      <c r="K643" s="27"/>
      <c r="L643" s="27"/>
      <c r="M643" s="27"/>
    </row>
    <row r="644" spans="1:13" ht="12.75">
      <c r="A644" s="99">
        <v>7711111</v>
      </c>
      <c r="B644" s="99" t="s">
        <v>152</v>
      </c>
      <c r="C644" s="443">
        <v>6320000</v>
      </c>
      <c r="D644" s="35">
        <f>5500000/10*12-100000</f>
        <v>6500000</v>
      </c>
      <c r="E644" s="101">
        <v>6500000</v>
      </c>
      <c r="F644" s="106"/>
      <c r="G644" s="106"/>
      <c r="H644" s="437"/>
      <c r="I644" s="437"/>
      <c r="J644" s="480"/>
      <c r="K644" s="27"/>
      <c r="L644" s="27"/>
      <c r="M644" s="27"/>
    </row>
    <row r="645" spans="1:13" ht="12.75">
      <c r="A645" s="99">
        <v>7711112</v>
      </c>
      <c r="B645" s="99" t="s">
        <v>153</v>
      </c>
      <c r="C645" s="443">
        <v>930000</v>
      </c>
      <c r="D645" s="35">
        <v>1000000</v>
      </c>
      <c r="E645" s="424"/>
      <c r="F645" s="424">
        <v>1000000</v>
      </c>
      <c r="G645" s="424"/>
      <c r="H645" s="437"/>
      <c r="I645" s="437"/>
      <c r="J645" s="480"/>
      <c r="K645" s="27"/>
      <c r="L645" s="27"/>
      <c r="M645" s="27"/>
    </row>
    <row r="646" spans="1:13" ht="12.75">
      <c r="A646" s="99"/>
      <c r="B646" s="99" t="s">
        <v>568</v>
      </c>
      <c r="C646" s="443"/>
      <c r="D646" s="35">
        <v>500000</v>
      </c>
      <c r="E646" s="424">
        <v>500000</v>
      </c>
      <c r="F646" s="424"/>
      <c r="G646" s="424"/>
      <c r="H646" s="437"/>
      <c r="I646" s="437"/>
      <c r="J646" s="480"/>
      <c r="K646" s="27"/>
      <c r="L646" s="27"/>
      <c r="M646" s="27"/>
    </row>
    <row r="647" spans="1:13" ht="12.75">
      <c r="A647" s="137">
        <v>7711</v>
      </c>
      <c r="B647" s="137" t="s">
        <v>154</v>
      </c>
      <c r="C647" s="440">
        <f>SUM(C644:C645)</f>
        <v>7250000</v>
      </c>
      <c r="D647" s="37">
        <f>D644+D645+D646</f>
        <v>8000000</v>
      </c>
      <c r="E647" s="440">
        <f>E644+E645+E646</f>
        <v>7000000</v>
      </c>
      <c r="F647" s="440">
        <f>SUM(F644:F645)</f>
        <v>1000000</v>
      </c>
      <c r="G647" s="440"/>
      <c r="H647" s="440">
        <f>SUM(H644:H645)</f>
        <v>0</v>
      </c>
      <c r="I647" s="440">
        <f>SUM(I644:I645)</f>
        <v>0</v>
      </c>
      <c r="J647" s="638"/>
      <c r="K647" s="27"/>
      <c r="L647" s="27"/>
      <c r="M647" s="27"/>
    </row>
    <row r="648" spans="1:13" ht="12.75">
      <c r="A648" s="137">
        <v>7721</v>
      </c>
      <c r="B648" s="137" t="s">
        <v>569</v>
      </c>
      <c r="C648" s="440"/>
      <c r="D648" s="37">
        <v>602000</v>
      </c>
      <c r="E648" s="440">
        <v>602000</v>
      </c>
      <c r="F648" s="440"/>
      <c r="G648" s="440"/>
      <c r="H648" s="440"/>
      <c r="I648" s="440"/>
      <c r="J648" s="638"/>
      <c r="K648" s="27"/>
      <c r="L648" s="27"/>
      <c r="M648" s="27"/>
    </row>
    <row r="649" spans="1:13" ht="12.75">
      <c r="A649" s="137">
        <v>7810</v>
      </c>
      <c r="B649" s="430" t="s">
        <v>371</v>
      </c>
      <c r="C649" s="440">
        <v>8092000</v>
      </c>
      <c r="D649" s="37">
        <v>8092000</v>
      </c>
      <c r="E649" s="101"/>
      <c r="F649" s="106">
        <v>8092000</v>
      </c>
      <c r="G649" s="106"/>
      <c r="H649" s="437"/>
      <c r="I649" s="441"/>
      <c r="J649" s="637"/>
      <c r="K649" s="27"/>
      <c r="L649" s="27"/>
      <c r="M649" s="27"/>
    </row>
    <row r="650" spans="1:13" ht="12.75">
      <c r="A650" s="143">
        <v>7811110101</v>
      </c>
      <c r="B650" s="99" t="s">
        <v>155</v>
      </c>
      <c r="C650" s="443">
        <v>392673000</v>
      </c>
      <c r="D650" s="35">
        <f aca="true" t="shared" si="28" ref="D650:D655">E650+F650+H650+I650</f>
        <v>392673000</v>
      </c>
      <c r="E650" s="101"/>
      <c r="F650" s="610">
        <f>392673000</f>
        <v>392673000</v>
      </c>
      <c r="G650" s="610"/>
      <c r="H650" s="437"/>
      <c r="I650" s="437"/>
      <c r="J650" s="480"/>
      <c r="K650" s="27" t="s">
        <v>623</v>
      </c>
      <c r="L650" s="27"/>
      <c r="M650" s="27"/>
    </row>
    <row r="651" spans="1:13" ht="12.75">
      <c r="A651" s="143">
        <v>7811110102</v>
      </c>
      <c r="B651" s="99" t="s">
        <v>156</v>
      </c>
      <c r="C651" s="443">
        <v>6545000</v>
      </c>
      <c r="D651" s="35">
        <f t="shared" si="28"/>
        <v>6545000</v>
      </c>
      <c r="E651" s="101"/>
      <c r="F651" s="552">
        <v>6545000</v>
      </c>
      <c r="G651" s="552"/>
      <c r="H651" s="437"/>
      <c r="I651" s="437"/>
      <c r="J651" s="480"/>
      <c r="K651" s="27"/>
      <c r="L651" s="27"/>
      <c r="M651" s="27"/>
    </row>
    <row r="652" spans="1:13" ht="12.75">
      <c r="A652" s="143">
        <v>7811110103</v>
      </c>
      <c r="B652" s="99" t="s">
        <v>157</v>
      </c>
      <c r="C652" s="443">
        <f>E652+F652+H652+I652</f>
        <v>29615000</v>
      </c>
      <c r="D652" s="35">
        <f t="shared" si="28"/>
        <v>29615000</v>
      </c>
      <c r="E652" s="101"/>
      <c r="F652" s="424">
        <v>29615000</v>
      </c>
      <c r="G652" s="424"/>
      <c r="H652" s="437"/>
      <c r="I652" s="437"/>
      <c r="J652" s="480"/>
      <c r="K652" s="27"/>
      <c r="L652" s="27"/>
      <c r="M652" s="27"/>
    </row>
    <row r="653" spans="1:13" ht="12.75">
      <c r="A653" s="143">
        <v>7811110104</v>
      </c>
      <c r="B653" s="99" t="s">
        <v>158</v>
      </c>
      <c r="C653" s="443">
        <f>E653+F653+H653+I653</f>
        <v>19399000</v>
      </c>
      <c r="D653" s="35">
        <f t="shared" si="28"/>
        <v>19399000</v>
      </c>
      <c r="E653" s="101"/>
      <c r="F653" s="424">
        <f>27228000-7829000</f>
        <v>19399000</v>
      </c>
      <c r="G653" s="424"/>
      <c r="H653" s="437"/>
      <c r="I653" s="437"/>
      <c r="J653" s="480"/>
      <c r="K653" s="27"/>
      <c r="L653" s="27"/>
      <c r="M653" s="27"/>
    </row>
    <row r="654" spans="1:13" ht="12.75">
      <c r="A654" s="143">
        <v>7811110105</v>
      </c>
      <c r="B654" s="99" t="s">
        <v>159</v>
      </c>
      <c r="C654" s="443">
        <f>E654+F654+H654+I654</f>
        <v>11028000</v>
      </c>
      <c r="D654" s="35">
        <f t="shared" si="28"/>
        <v>11028000</v>
      </c>
      <c r="E654" s="101"/>
      <c r="F654" s="424">
        <v>11028000</v>
      </c>
      <c r="G654" s="424"/>
      <c r="H654" s="437"/>
      <c r="I654" s="437"/>
      <c r="J654" s="480"/>
      <c r="K654" s="27"/>
      <c r="L654" s="27"/>
      <c r="M654" s="27"/>
    </row>
    <row r="655" spans="1:13" ht="12.75">
      <c r="A655" s="143">
        <v>7811110106</v>
      </c>
      <c r="B655" s="99" t="s">
        <v>160</v>
      </c>
      <c r="C655" s="443">
        <f>E655+F655+H655+I655</f>
        <v>10051000</v>
      </c>
      <c r="D655" s="35">
        <f t="shared" si="28"/>
        <v>10051000</v>
      </c>
      <c r="E655" s="101"/>
      <c r="F655" s="424">
        <v>10051000</v>
      </c>
      <c r="G655" s="424"/>
      <c r="H655" s="437"/>
      <c r="I655" s="437"/>
      <c r="J655" s="480"/>
      <c r="K655" s="27"/>
      <c r="L655" s="27"/>
      <c r="M655" s="27"/>
    </row>
    <row r="656" spans="1:13" ht="12.75">
      <c r="A656" s="143"/>
      <c r="B656" s="99" t="s">
        <v>591</v>
      </c>
      <c r="C656" s="443">
        <v>47702000</v>
      </c>
      <c r="D656" s="35"/>
      <c r="E656" s="101"/>
      <c r="F656" s="424"/>
      <c r="G656" s="424"/>
      <c r="H656" s="437"/>
      <c r="I656" s="437"/>
      <c r="J656" s="480"/>
      <c r="K656" s="27"/>
      <c r="L656" s="27"/>
      <c r="M656" s="27"/>
    </row>
    <row r="657" spans="1:13" ht="12.75">
      <c r="A657" s="143"/>
      <c r="B657" s="137" t="s">
        <v>583</v>
      </c>
      <c r="C657" s="391">
        <f>C650+C651+C652+C653+C654+C655+C656</f>
        <v>517013000</v>
      </c>
      <c r="D657" s="37">
        <f>E657+F657+H657+I657</f>
        <v>469311000</v>
      </c>
      <c r="E657" s="130"/>
      <c r="F657" s="130">
        <f>F650+F651+F652+F653+F654+F655+F656</f>
        <v>469311000</v>
      </c>
      <c r="G657" s="130"/>
      <c r="H657" s="587"/>
      <c r="I657" s="587"/>
      <c r="J657" s="131"/>
      <c r="K657" s="27"/>
      <c r="L657" s="27"/>
      <c r="M657" s="27"/>
    </row>
    <row r="658" spans="1:13" ht="12.75">
      <c r="A658" s="588">
        <v>781111013</v>
      </c>
      <c r="B658" s="137" t="s">
        <v>582</v>
      </c>
      <c r="C658" s="391"/>
      <c r="D658" s="37">
        <f>D659+D666+D660</f>
        <v>53313622</v>
      </c>
      <c r="E658" s="130"/>
      <c r="F658" s="130">
        <f>F659+F660+F666</f>
        <v>53313622</v>
      </c>
      <c r="G658" s="130"/>
      <c r="H658" s="587"/>
      <c r="I658" s="587"/>
      <c r="J658" s="131"/>
      <c r="K658" s="27"/>
      <c r="L658" s="27"/>
      <c r="M658" s="27"/>
    </row>
    <row r="659" spans="1:13" ht="12.75">
      <c r="A659" s="143"/>
      <c r="B659" s="99" t="s">
        <v>584</v>
      </c>
      <c r="C659" s="443"/>
      <c r="D659" s="35">
        <v>24002000</v>
      </c>
      <c r="E659" s="101"/>
      <c r="F659" s="424">
        <v>24002000</v>
      </c>
      <c r="G659" s="424"/>
      <c r="H659" s="437"/>
      <c r="I659" s="437"/>
      <c r="J659" s="480"/>
      <c r="K659" s="27"/>
      <c r="L659" s="27"/>
      <c r="M659" s="27"/>
    </row>
    <row r="660" spans="1:13" ht="12.75">
      <c r="A660" s="143"/>
      <c r="B660" s="99" t="s">
        <v>624</v>
      </c>
      <c r="C660" s="443"/>
      <c r="D660" s="35">
        <f>28796622-24002000</f>
        <v>4794622</v>
      </c>
      <c r="E660" s="101"/>
      <c r="F660" s="424">
        <v>4794622</v>
      </c>
      <c r="G660" s="424"/>
      <c r="H660" s="437"/>
      <c r="I660" s="437"/>
      <c r="J660" s="480"/>
      <c r="K660" s="27"/>
      <c r="L660" s="27"/>
      <c r="M660" s="27"/>
    </row>
    <row r="661" spans="1:13" ht="12.75">
      <c r="A661" s="143"/>
      <c r="B661" s="99" t="s">
        <v>585</v>
      </c>
      <c r="C661" s="443"/>
      <c r="D661" s="35">
        <v>21635000</v>
      </c>
      <c r="E661" s="101"/>
      <c r="F661" s="424">
        <v>21635000</v>
      </c>
      <c r="G661" s="424"/>
      <c r="H661" s="437"/>
      <c r="I661" s="437"/>
      <c r="J661" s="480"/>
      <c r="K661" s="27"/>
      <c r="L661" s="27"/>
      <c r="M661" s="27"/>
    </row>
    <row r="662" spans="1:13" ht="12.75">
      <c r="A662" s="143"/>
      <c r="B662" s="99" t="s">
        <v>586</v>
      </c>
      <c r="C662" s="443"/>
      <c r="D662" s="35">
        <v>312000</v>
      </c>
      <c r="E662" s="101"/>
      <c r="F662" s="424">
        <v>312000</v>
      </c>
      <c r="G662" s="424"/>
      <c r="H662" s="437"/>
      <c r="I662" s="437"/>
      <c r="J662" s="480"/>
      <c r="K662" s="27"/>
      <c r="L662" s="27"/>
      <c r="M662" s="27"/>
    </row>
    <row r="663" spans="1:13" ht="12.75">
      <c r="A663" s="143"/>
      <c r="B663" s="99" t="s">
        <v>587</v>
      </c>
      <c r="C663" s="443"/>
      <c r="D663" s="35">
        <v>579000</v>
      </c>
      <c r="E663" s="101"/>
      <c r="F663" s="424">
        <v>579000</v>
      </c>
      <c r="G663" s="424"/>
      <c r="H663" s="437"/>
      <c r="I663" s="437"/>
      <c r="J663" s="480"/>
      <c r="K663" s="27"/>
      <c r="L663" s="27"/>
      <c r="M663" s="27"/>
    </row>
    <row r="664" spans="1:13" ht="12.75">
      <c r="A664" s="143"/>
      <c r="B664" s="99" t="s">
        <v>588</v>
      </c>
      <c r="C664" s="443"/>
      <c r="D664" s="35">
        <v>630000</v>
      </c>
      <c r="E664" s="101"/>
      <c r="F664" s="424">
        <v>630000</v>
      </c>
      <c r="G664" s="424"/>
      <c r="H664" s="437"/>
      <c r="I664" s="437"/>
      <c r="J664" s="480"/>
      <c r="K664" s="27"/>
      <c r="L664" s="27"/>
      <c r="M664" s="27"/>
    </row>
    <row r="665" spans="1:13" ht="12.75">
      <c r="A665" s="143"/>
      <c r="B665" s="99" t="s">
        <v>589</v>
      </c>
      <c r="C665" s="443"/>
      <c r="D665" s="35">
        <v>1361000</v>
      </c>
      <c r="E665" s="101"/>
      <c r="F665" s="424">
        <v>1361000</v>
      </c>
      <c r="G665" s="424"/>
      <c r="H665" s="437"/>
      <c r="I665" s="437"/>
      <c r="J665" s="480"/>
      <c r="K665" s="27"/>
      <c r="L665" s="27"/>
      <c r="M665" s="27"/>
    </row>
    <row r="666" spans="1:13" ht="12.75">
      <c r="A666" s="143"/>
      <c r="B666" s="99" t="s">
        <v>590</v>
      </c>
      <c r="C666" s="443"/>
      <c r="D666" s="35">
        <f>SUM(D661:D665)</f>
        <v>24517000</v>
      </c>
      <c r="E666" s="101"/>
      <c r="F666" s="424">
        <v>24517000</v>
      </c>
      <c r="G666" s="424"/>
      <c r="H666" s="437"/>
      <c r="I666" s="437"/>
      <c r="J666" s="480"/>
      <c r="K666" s="27"/>
      <c r="L666" s="27"/>
      <c r="M666" s="27"/>
    </row>
    <row r="667" spans="1:13" ht="12.75">
      <c r="A667" s="143"/>
      <c r="B667" s="137" t="s">
        <v>593</v>
      </c>
      <c r="C667" s="391"/>
      <c r="D667" s="37">
        <v>2700000</v>
      </c>
      <c r="E667" s="130"/>
      <c r="F667" s="130">
        <v>2700000</v>
      </c>
      <c r="G667" s="130"/>
      <c r="H667" s="587"/>
      <c r="I667" s="587"/>
      <c r="J667" s="131"/>
      <c r="K667" s="27"/>
      <c r="L667" s="27"/>
      <c r="M667" s="27"/>
    </row>
    <row r="668" spans="1:13" ht="12.75">
      <c r="A668" s="444">
        <v>7810</v>
      </c>
      <c r="B668" s="430" t="s">
        <v>398</v>
      </c>
      <c r="C668" s="440">
        <v>8608000</v>
      </c>
      <c r="D668" s="37">
        <v>10956000</v>
      </c>
      <c r="E668" s="101"/>
      <c r="F668" s="106">
        <v>10956000</v>
      </c>
      <c r="G668" s="106"/>
      <c r="H668" s="437"/>
      <c r="I668" s="437"/>
      <c r="J668" s="480"/>
      <c r="K668" s="27"/>
      <c r="L668" s="27"/>
      <c r="M668" s="27"/>
    </row>
    <row r="669" spans="1:13" ht="12.75">
      <c r="A669" s="444">
        <v>8120</v>
      </c>
      <c r="B669" s="430" t="s">
        <v>429</v>
      </c>
      <c r="C669" s="440">
        <f>E669+F669+H669+I669</f>
        <v>30000</v>
      </c>
      <c r="D669" s="37">
        <v>30000</v>
      </c>
      <c r="E669" s="101"/>
      <c r="F669" s="106"/>
      <c r="G669" s="106"/>
      <c r="H669" s="437"/>
      <c r="I669" s="441">
        <v>30000</v>
      </c>
      <c r="J669" s="637"/>
      <c r="K669" s="27"/>
      <c r="L669" s="27"/>
      <c r="M669" s="27"/>
    </row>
    <row r="670" spans="1:13" ht="12.75">
      <c r="A670" s="444">
        <v>7911</v>
      </c>
      <c r="B670" s="137" t="s">
        <v>570</v>
      </c>
      <c r="C670" s="440"/>
      <c r="D670" s="37">
        <v>316800</v>
      </c>
      <c r="E670" s="130">
        <v>316800</v>
      </c>
      <c r="F670" s="106"/>
      <c r="G670" s="106"/>
      <c r="H670" s="437"/>
      <c r="I670" s="441"/>
      <c r="J670" s="637"/>
      <c r="K670" s="27"/>
      <c r="L670" s="27"/>
      <c r="M670" s="27"/>
    </row>
    <row r="671" spans="1:13" ht="12.75">
      <c r="A671" s="145"/>
      <c r="B671" s="137" t="s">
        <v>351</v>
      </c>
      <c r="C671" s="440">
        <f>C669+C668+C657+C658+C649+C647+C643+C642+C632+C631+C630</f>
        <v>620643350</v>
      </c>
      <c r="D671" s="440">
        <f aca="true" t="shared" si="29" ref="D671:I671">D670+D669+D668+D658+D657+D649+D648+D647+D643+D642+D632+D631+D630+D667</f>
        <v>606869772</v>
      </c>
      <c r="E671" s="440">
        <f t="shared" si="29"/>
        <v>11595150</v>
      </c>
      <c r="F671" s="440">
        <f t="shared" si="29"/>
        <v>545372622</v>
      </c>
      <c r="G671" s="440">
        <f t="shared" si="29"/>
        <v>0</v>
      </c>
      <c r="H671" s="440">
        <f t="shared" si="29"/>
        <v>2000000</v>
      </c>
      <c r="I671" s="440">
        <f t="shared" si="29"/>
        <v>47902000</v>
      </c>
      <c r="J671" s="638"/>
      <c r="K671" s="27"/>
      <c r="L671" s="27"/>
      <c r="M671" s="27"/>
    </row>
    <row r="672" spans="1:13" ht="22.5">
      <c r="A672" s="145"/>
      <c r="B672" s="612" t="s">
        <v>625</v>
      </c>
      <c r="C672" s="443">
        <v>14350000</v>
      </c>
      <c r="D672" s="35">
        <f>E672+I672</f>
        <v>15770000</v>
      </c>
      <c r="E672" s="424">
        <f>820000+600000</f>
        <v>1420000</v>
      </c>
      <c r="F672" s="424"/>
      <c r="G672" s="424"/>
      <c r="H672" s="437"/>
      <c r="I672" s="437">
        <v>14350000</v>
      </c>
      <c r="J672" s="480"/>
      <c r="K672" s="27"/>
      <c r="L672" s="27"/>
      <c r="M672" s="27"/>
    </row>
    <row r="673" spans="1:13" ht="22.5">
      <c r="A673" s="145"/>
      <c r="B673" s="612" t="s">
        <v>626</v>
      </c>
      <c r="C673" s="443"/>
      <c r="D673" s="35">
        <f>E673+F673+G673+H673+I673</f>
        <v>3404227.02</v>
      </c>
      <c r="E673" s="424"/>
      <c r="F673" s="424">
        <v>3404227.02</v>
      </c>
      <c r="G673" s="424"/>
      <c r="H673" s="437"/>
      <c r="I673" s="437"/>
      <c r="J673" s="480"/>
      <c r="K673" s="27"/>
      <c r="L673" s="27"/>
      <c r="M673" s="27"/>
    </row>
    <row r="674" spans="2:13" ht="22.5">
      <c r="B674" s="582" t="s">
        <v>408</v>
      </c>
      <c r="C674" s="613">
        <f>C671+C672</f>
        <v>634993350</v>
      </c>
      <c r="D674" s="584">
        <f>D671+D672+D673</f>
        <v>626043999.02</v>
      </c>
      <c r="E674" s="583">
        <f>E671+E672</f>
        <v>13015150</v>
      </c>
      <c r="F674" s="583">
        <f>F671+F672+F673</f>
        <v>548776849.02</v>
      </c>
      <c r="G674" s="583"/>
      <c r="H674" s="583">
        <f>SUM(H671:H672)</f>
        <v>2000000</v>
      </c>
      <c r="I674" s="583">
        <f>SUM(I671:I672)</f>
        <v>62252000</v>
      </c>
      <c r="J674" s="604"/>
      <c r="K674" s="81"/>
      <c r="L674" s="27"/>
      <c r="M674" s="27"/>
    </row>
    <row r="675" spans="2:13" ht="12.75">
      <c r="B675" s="676" t="s">
        <v>660</v>
      </c>
      <c r="C675" s="583"/>
      <c r="D675" s="584">
        <f>E675+F675+G675+H675+I675</f>
        <v>1700000</v>
      </c>
      <c r="E675" s="583"/>
      <c r="F675" s="583">
        <v>1700000</v>
      </c>
      <c r="G675" s="583"/>
      <c r="H675" s="583"/>
      <c r="I675" s="583"/>
      <c r="J675" s="604"/>
      <c r="K675" s="27"/>
      <c r="L675" s="27"/>
      <c r="M675" s="27"/>
    </row>
    <row r="676" spans="2:13" ht="12.75">
      <c r="B676" s="676" t="s">
        <v>661</v>
      </c>
      <c r="C676" s="583">
        <f aca="true" t="shared" si="30" ref="C676:I676">C674-C675</f>
        <v>634993350</v>
      </c>
      <c r="D676" s="583">
        <f t="shared" si="30"/>
        <v>624343999.02</v>
      </c>
      <c r="E676" s="583">
        <f t="shared" si="30"/>
        <v>13015150</v>
      </c>
      <c r="F676" s="583">
        <f t="shared" si="30"/>
        <v>547076849.02</v>
      </c>
      <c r="G676" s="583">
        <f t="shared" si="30"/>
        <v>0</v>
      </c>
      <c r="H676" s="583">
        <f t="shared" si="30"/>
        <v>2000000</v>
      </c>
      <c r="I676" s="583">
        <f t="shared" si="30"/>
        <v>62252000</v>
      </c>
      <c r="J676" s="604"/>
      <c r="K676" s="27"/>
      <c r="L676" s="27"/>
      <c r="M676" s="27"/>
    </row>
    <row r="677" spans="1:13" ht="12.75">
      <c r="A677" s="540"/>
      <c r="B677" s="674"/>
      <c r="C677" s="650"/>
      <c r="D677" s="675"/>
      <c r="E677" s="650"/>
      <c r="F677" s="650"/>
      <c r="G677" s="650"/>
      <c r="H677" s="650"/>
      <c r="I677" s="650"/>
      <c r="J677" s="650"/>
      <c r="K677" s="27"/>
      <c r="L677" s="27"/>
      <c r="M677" s="27"/>
    </row>
    <row r="678" spans="1:13" ht="12.75">
      <c r="A678" s="697" t="s">
        <v>663</v>
      </c>
      <c r="B678" s="540"/>
      <c r="C678" s="540"/>
      <c r="D678" s="540"/>
      <c r="E678" s="540"/>
      <c r="F678" s="540"/>
      <c r="G678" s="540"/>
      <c r="H678" s="540"/>
      <c r="K678" s="27"/>
      <c r="L678" s="27"/>
      <c r="M678" s="27"/>
    </row>
    <row r="679" spans="1:13" ht="12.75">
      <c r="A679" s="540"/>
      <c r="B679" s="540"/>
      <c r="C679" s="540"/>
      <c r="D679" s="540"/>
      <c r="E679" s="540"/>
      <c r="F679" s="540"/>
      <c r="G679" s="540"/>
      <c r="H679" s="540"/>
      <c r="K679" s="27"/>
      <c r="L679" s="27"/>
      <c r="M679" s="27"/>
    </row>
    <row r="680" spans="1:13" ht="12.75">
      <c r="A680" s="18"/>
      <c r="B680" s="15" t="s">
        <v>610</v>
      </c>
      <c r="C680" s="15"/>
      <c r="D680" s="71"/>
      <c r="E680" s="15"/>
      <c r="F680" s="91" t="s">
        <v>221</v>
      </c>
      <c r="G680" s="91"/>
      <c r="H680" s="433" t="s">
        <v>438</v>
      </c>
      <c r="K680" s="27"/>
      <c r="L680" s="27"/>
      <c r="M680" s="27"/>
    </row>
    <row r="681" spans="1:16" ht="56.25">
      <c r="A681" s="435" t="s">
        <v>399</v>
      </c>
      <c r="B681" s="435" t="s">
        <v>400</v>
      </c>
      <c r="C681" s="167" t="s">
        <v>401</v>
      </c>
      <c r="D681" s="123" t="s">
        <v>562</v>
      </c>
      <c r="E681" s="167" t="s">
        <v>402</v>
      </c>
      <c r="F681" s="167" t="s">
        <v>403</v>
      </c>
      <c r="G681" s="661" t="s">
        <v>650</v>
      </c>
      <c r="H681" s="438" t="s">
        <v>397</v>
      </c>
      <c r="I681" s="439" t="s">
        <v>404</v>
      </c>
      <c r="J681" s="662" t="s">
        <v>649</v>
      </c>
      <c r="K681" s="474" t="s">
        <v>617</v>
      </c>
      <c r="L681" s="759" t="s">
        <v>618</v>
      </c>
      <c r="M681" s="759"/>
      <c r="N681" s="35" t="s">
        <v>620</v>
      </c>
      <c r="O681" s="35"/>
      <c r="P681" s="81"/>
    </row>
    <row r="682" spans="1:16" ht="12.75">
      <c r="A682" s="118">
        <v>4111</v>
      </c>
      <c r="B682" s="116" t="s">
        <v>92</v>
      </c>
      <c r="C682" s="116">
        <v>385529000</v>
      </c>
      <c r="D682" s="35">
        <f>E682+F682+H682+I682</f>
        <v>0</v>
      </c>
      <c r="E682" s="233"/>
      <c r="F682" s="437"/>
      <c r="G682" s="552"/>
      <c r="H682" s="437"/>
      <c r="I682" s="437"/>
      <c r="J682" s="437"/>
      <c r="K682" s="34" t="s">
        <v>174</v>
      </c>
      <c r="L682" s="35" t="s">
        <v>5</v>
      </c>
      <c r="M682" s="34" t="s">
        <v>619</v>
      </c>
      <c r="N682" s="35" t="s">
        <v>5</v>
      </c>
      <c r="O682" s="35" t="s">
        <v>619</v>
      </c>
      <c r="P682" s="81"/>
    </row>
    <row r="683" spans="1:16" ht="12.75">
      <c r="A683" s="118">
        <v>4120</v>
      </c>
      <c r="B683" s="116" t="s">
        <v>409</v>
      </c>
      <c r="C683" s="116">
        <v>70804000</v>
      </c>
      <c r="D683" s="35">
        <f aca="true" t="shared" si="31" ref="D683:D727">E683+F683+H683+I683</f>
        <v>0</v>
      </c>
      <c r="E683" s="233"/>
      <c r="F683" s="437"/>
      <c r="G683" s="552"/>
      <c r="H683" s="437"/>
      <c r="I683" s="437"/>
      <c r="J683" s="437"/>
      <c r="K683" s="35"/>
      <c r="L683" s="35"/>
      <c r="M683" s="34"/>
      <c r="N683" s="35"/>
      <c r="O683" s="35"/>
      <c r="P683" s="81"/>
    </row>
    <row r="684" spans="1:16" ht="12.75">
      <c r="A684" s="594"/>
      <c r="B684" s="595" t="s">
        <v>598</v>
      </c>
      <c r="C684" s="624">
        <v>456333000</v>
      </c>
      <c r="D684" s="596">
        <f t="shared" si="31"/>
        <v>467380000</v>
      </c>
      <c r="E684" s="624">
        <f>SUM(E682:E683)</f>
        <v>0</v>
      </c>
      <c r="F684" s="624">
        <f>F685+F686</f>
        <v>446508849.02</v>
      </c>
      <c r="G684" s="624">
        <v>364997384.49</v>
      </c>
      <c r="H684" s="624"/>
      <c r="I684" s="624">
        <f>467380000-F684</f>
        <v>20871150.98000002</v>
      </c>
      <c r="J684" s="546">
        <v>5904647.68</v>
      </c>
      <c r="K684" s="35">
        <f>370902032.17+2421659.14+17374703.49+13025.51+97433</f>
        <v>390808853.31</v>
      </c>
      <c r="L684" s="603">
        <v>32777378</v>
      </c>
      <c r="M684" s="603">
        <v>473000000</v>
      </c>
      <c r="N684" s="35">
        <f>L684-I684</f>
        <v>11906227.01999998</v>
      </c>
      <c r="O684" s="35">
        <f>M684-D684</f>
        <v>5620000</v>
      </c>
      <c r="P684" s="81"/>
    </row>
    <row r="685" spans="1:16" ht="12.75">
      <c r="A685" s="555"/>
      <c r="B685" s="551" t="s">
        <v>596</v>
      </c>
      <c r="C685" s="551"/>
      <c r="D685" s="35">
        <f t="shared" si="31"/>
        <v>409500000</v>
      </c>
      <c r="E685" s="564"/>
      <c r="F685" s="609">
        <f>392673000</f>
        <v>392673000</v>
      </c>
      <c r="G685" s="551"/>
      <c r="H685" s="551"/>
      <c r="I685" s="551">
        <f>409500000-392673000</f>
        <v>16827000</v>
      </c>
      <c r="J685" s="551"/>
      <c r="K685" s="35"/>
      <c r="L685" s="35"/>
      <c r="M685" s="35"/>
      <c r="N685" s="35">
        <f aca="true" t="shared" si="32" ref="N685:N758">L685-I685</f>
        <v>-16827000</v>
      </c>
      <c r="O685" s="35">
        <f aca="true" t="shared" si="33" ref="O685:O758">M685-D685</f>
        <v>-409500000</v>
      </c>
      <c r="P685" s="81"/>
    </row>
    <row r="686" spans="1:16" ht="12.75">
      <c r="A686" s="555"/>
      <c r="B686" s="551" t="s">
        <v>597</v>
      </c>
      <c r="C686" s="551"/>
      <c r="D686" s="35">
        <f t="shared" si="31"/>
        <v>57880000.000000015</v>
      </c>
      <c r="E686" s="564"/>
      <c r="F686" s="551">
        <f>24002000+21635000+3404227.02+28796622-24002000</f>
        <v>53835849.02000001</v>
      </c>
      <c r="G686" s="551"/>
      <c r="H686" s="551"/>
      <c r="I686" s="551">
        <f>57880000-45637000-3404227.02-28796622+24002000</f>
        <v>4044150.9800000004</v>
      </c>
      <c r="J686" s="551"/>
      <c r="K686" s="35">
        <f>K684/10*12</f>
        <v>468970623.972</v>
      </c>
      <c r="L686" s="35"/>
      <c r="M686" s="35"/>
      <c r="N686" s="35">
        <f t="shared" si="32"/>
        <v>-4044150.9800000004</v>
      </c>
      <c r="O686" s="35">
        <f t="shared" si="33"/>
        <v>-57880000.000000015</v>
      </c>
      <c r="P686" s="81"/>
    </row>
    <row r="687" spans="1:16" ht="22.5">
      <c r="A687" s="594">
        <v>4130</v>
      </c>
      <c r="B687" s="682" t="s">
        <v>563</v>
      </c>
      <c r="C687" s="624">
        <v>180000</v>
      </c>
      <c r="D687" s="596">
        <f t="shared" si="31"/>
        <v>750000</v>
      </c>
      <c r="E687" s="683"/>
      <c r="F687" s="624"/>
      <c r="G687" s="624"/>
      <c r="H687" s="624"/>
      <c r="I687" s="624">
        <v>750000</v>
      </c>
      <c r="J687" s="546">
        <v>145475.49</v>
      </c>
      <c r="K687" s="37">
        <f>K684+K686</f>
        <v>859779477.2820001</v>
      </c>
      <c r="L687" s="603">
        <v>680000</v>
      </c>
      <c r="M687" s="603">
        <v>680000</v>
      </c>
      <c r="N687" s="35">
        <f t="shared" si="32"/>
        <v>-70000</v>
      </c>
      <c r="O687" s="35">
        <f t="shared" si="33"/>
        <v>-70000</v>
      </c>
      <c r="P687" s="81"/>
    </row>
    <row r="688" spans="1:16" ht="12.75">
      <c r="A688" s="594">
        <v>4140</v>
      </c>
      <c r="B688" s="595" t="s">
        <v>411</v>
      </c>
      <c r="C688" s="624">
        <v>7450000</v>
      </c>
      <c r="D688" s="596">
        <f t="shared" si="31"/>
        <v>11400000</v>
      </c>
      <c r="E688" s="684">
        <v>6500000</v>
      </c>
      <c r="F688" s="595">
        <f>1000000+3000000</f>
        <v>4000000</v>
      </c>
      <c r="G688" s="595">
        <f>806630.88+2371213</f>
        <v>3177843.88</v>
      </c>
      <c r="H688" s="685"/>
      <c r="I688" s="597">
        <v>900000</v>
      </c>
      <c r="J688" s="554">
        <f>74224.01+1357688.2+13000</f>
        <v>1444912.21</v>
      </c>
      <c r="K688" s="35">
        <f>409500000+57880000</f>
        <v>467380000</v>
      </c>
      <c r="L688" s="603">
        <v>450000</v>
      </c>
      <c r="M688" s="603">
        <v>8250000</v>
      </c>
      <c r="N688" s="35">
        <f t="shared" si="32"/>
        <v>-450000</v>
      </c>
      <c r="O688" s="35">
        <f t="shared" si="33"/>
        <v>-3150000</v>
      </c>
      <c r="P688" s="81"/>
    </row>
    <row r="689" spans="1:16" ht="12.75">
      <c r="A689" s="594">
        <v>4140</v>
      </c>
      <c r="B689" s="595" t="s">
        <v>629</v>
      </c>
      <c r="C689" s="624"/>
      <c r="D689" s="596">
        <f t="shared" si="31"/>
        <v>600000</v>
      </c>
      <c r="E689" s="684"/>
      <c r="F689" s="595"/>
      <c r="G689" s="595"/>
      <c r="H689" s="685"/>
      <c r="I689" s="597">
        <v>600000</v>
      </c>
      <c r="J689" s="554"/>
      <c r="K689" s="35"/>
      <c r="L689" s="603"/>
      <c r="M689" s="603"/>
      <c r="N689" s="35"/>
      <c r="O689" s="35"/>
      <c r="P689" s="81"/>
    </row>
    <row r="690" spans="1:16" ht="22.5">
      <c r="A690" s="594">
        <v>4150</v>
      </c>
      <c r="B690" s="682" t="s">
        <v>599</v>
      </c>
      <c r="C690" s="597">
        <v>7109000</v>
      </c>
      <c r="D690" s="596">
        <f t="shared" si="31"/>
        <v>10909000</v>
      </c>
      <c r="E690" s="686"/>
      <c r="F690" s="597">
        <f>F691+F692</f>
        <v>6857000</v>
      </c>
      <c r="G690" s="597">
        <v>7665950.47</v>
      </c>
      <c r="H690" s="597">
        <f>H691+H692</f>
        <v>0</v>
      </c>
      <c r="I690" s="597">
        <f>I691+I692</f>
        <v>4052000</v>
      </c>
      <c r="J690" s="554">
        <v>504114.94</v>
      </c>
      <c r="K690" s="35"/>
      <c r="L690" s="603">
        <v>1943000</v>
      </c>
      <c r="M690" s="603">
        <v>8800000</v>
      </c>
      <c r="N690" s="35">
        <f t="shared" si="32"/>
        <v>-2109000</v>
      </c>
      <c r="O690" s="35">
        <f t="shared" si="33"/>
        <v>-2109000</v>
      </c>
      <c r="P690" s="81"/>
    </row>
    <row r="691" spans="1:16" ht="12.75">
      <c r="A691" s="555"/>
      <c r="B691" s="695" t="s">
        <v>600</v>
      </c>
      <c r="C691" s="546"/>
      <c r="D691" s="557">
        <f t="shared" si="31"/>
        <v>10080000</v>
      </c>
      <c r="E691" s="561"/>
      <c r="F691" s="551">
        <v>6545000</v>
      </c>
      <c r="G691" s="551"/>
      <c r="H691" s="551"/>
      <c r="I691" s="551">
        <f>730000+2805000</f>
        <v>3535000</v>
      </c>
      <c r="J691" s="551"/>
      <c r="K691" s="525">
        <f>460000000-438310000</f>
        <v>21690000</v>
      </c>
      <c r="L691" s="35"/>
      <c r="M691" s="35"/>
      <c r="N691" s="35">
        <f t="shared" si="32"/>
        <v>-3535000</v>
      </c>
      <c r="O691" s="35">
        <f t="shared" si="33"/>
        <v>-10080000</v>
      </c>
      <c r="P691" s="81"/>
    </row>
    <row r="692" spans="1:16" ht="12.75">
      <c r="A692" s="555"/>
      <c r="B692" s="621" t="s">
        <v>601</v>
      </c>
      <c r="C692" s="614"/>
      <c r="D692" s="615">
        <f t="shared" si="31"/>
        <v>829000</v>
      </c>
      <c r="E692" s="620"/>
      <c r="F692" s="622">
        <v>312000</v>
      </c>
      <c r="G692" s="551"/>
      <c r="H692" s="616"/>
      <c r="I692" s="616">
        <v>517000</v>
      </c>
      <c r="J692" s="552"/>
      <c r="K692" s="35"/>
      <c r="L692" s="35"/>
      <c r="M692" s="35"/>
      <c r="N692" s="35">
        <f t="shared" si="32"/>
        <v>-517000</v>
      </c>
      <c r="O692" s="35">
        <f t="shared" si="33"/>
        <v>-829000</v>
      </c>
      <c r="P692" s="81"/>
    </row>
    <row r="693" spans="1:16" ht="22.5">
      <c r="A693" s="594">
        <v>4160</v>
      </c>
      <c r="B693" s="687" t="s">
        <v>605</v>
      </c>
      <c r="C693" s="624">
        <v>9328000</v>
      </c>
      <c r="D693" s="596">
        <f t="shared" si="31"/>
        <v>8956000</v>
      </c>
      <c r="E693" s="684"/>
      <c r="F693" s="595">
        <f>F694+F695</f>
        <v>7956000</v>
      </c>
      <c r="G693" s="595">
        <v>6628561.18</v>
      </c>
      <c r="H693" s="595">
        <f>H694+H695</f>
        <v>0</v>
      </c>
      <c r="I693" s="595">
        <f>I694+I695</f>
        <v>1000000</v>
      </c>
      <c r="J693" s="553"/>
      <c r="K693" s="35"/>
      <c r="L693" s="603">
        <v>1500000</v>
      </c>
      <c r="M693" s="603">
        <v>15000000</v>
      </c>
      <c r="N693" s="35">
        <f t="shared" si="32"/>
        <v>500000</v>
      </c>
      <c r="O693" s="35">
        <f t="shared" si="33"/>
        <v>6044000</v>
      </c>
      <c r="P693" s="81"/>
    </row>
    <row r="694" spans="1:16" ht="12.75">
      <c r="A694" s="555"/>
      <c r="B694" s="695" t="s">
        <v>602</v>
      </c>
      <c r="C694" s="546"/>
      <c r="D694" s="557">
        <f t="shared" si="31"/>
        <v>7756000</v>
      </c>
      <c r="E694" s="561"/>
      <c r="F694" s="553">
        <v>7756000</v>
      </c>
      <c r="G694" s="553"/>
      <c r="H694" s="552"/>
      <c r="I694" s="552"/>
      <c r="J694" s="552"/>
      <c r="K694" s="35"/>
      <c r="L694" s="35"/>
      <c r="M694" s="35"/>
      <c r="N694" s="35">
        <f t="shared" si="32"/>
        <v>0</v>
      </c>
      <c r="O694" s="35">
        <f t="shared" si="33"/>
        <v>-7756000</v>
      </c>
      <c r="P694" s="81"/>
    </row>
    <row r="695" spans="1:16" ht="12.75">
      <c r="A695" s="555"/>
      <c r="B695" s="621" t="s">
        <v>603</v>
      </c>
      <c r="C695" s="614"/>
      <c r="D695" s="615">
        <f t="shared" si="31"/>
        <v>1200000</v>
      </c>
      <c r="E695" s="620"/>
      <c r="F695" s="619">
        <v>200000</v>
      </c>
      <c r="G695" s="619"/>
      <c r="H695" s="616"/>
      <c r="I695" s="616">
        <v>1000000</v>
      </c>
      <c r="J695" s="552"/>
      <c r="K695" s="35"/>
      <c r="L695" s="35"/>
      <c r="M695" s="35"/>
      <c r="N695" s="35">
        <f t="shared" si="32"/>
        <v>-1000000</v>
      </c>
      <c r="O695" s="35">
        <f t="shared" si="33"/>
        <v>-1200000</v>
      </c>
      <c r="P695" s="81"/>
    </row>
    <row r="696" spans="1:16" ht="12.75">
      <c r="A696" s="688">
        <v>4210</v>
      </c>
      <c r="B696" s="689" t="s">
        <v>413</v>
      </c>
      <c r="C696" s="690">
        <v>20300000</v>
      </c>
      <c r="D696" s="678">
        <f t="shared" si="31"/>
        <v>24300000</v>
      </c>
      <c r="E696" s="691"/>
      <c r="F696" s="690">
        <f>F697+F698+F699+F700+F701+F703+F702</f>
        <v>21300000</v>
      </c>
      <c r="G696" s="690">
        <f>G697+G698+G699+G700+G701+G703+G702</f>
        <v>16732887.51</v>
      </c>
      <c r="H696" s="690">
        <f>H697+H698+H699+H700+H701+H703+H702</f>
        <v>0</v>
      </c>
      <c r="I696" s="690">
        <f>I697+I698+I699+I700+I701+I703+I702</f>
        <v>3000000</v>
      </c>
      <c r="J696" s="592">
        <f>J697+J698+J699+J700+J701+J703+J702</f>
        <v>2749950.49</v>
      </c>
      <c r="K696" s="35"/>
      <c r="L696" s="603">
        <v>3233000</v>
      </c>
      <c r="M696" s="603">
        <v>24900000</v>
      </c>
      <c r="N696" s="35">
        <f t="shared" si="32"/>
        <v>233000</v>
      </c>
      <c r="O696" s="35">
        <f t="shared" si="33"/>
        <v>600000</v>
      </c>
      <c r="P696" s="81"/>
    </row>
    <row r="697" spans="1:16" ht="12.75">
      <c r="A697" s="562">
        <v>4211</v>
      </c>
      <c r="B697" s="556" t="s">
        <v>101</v>
      </c>
      <c r="C697" s="552">
        <v>1600000</v>
      </c>
      <c r="D697" s="557">
        <f t="shared" si="31"/>
        <v>1900000</v>
      </c>
      <c r="E697" s="558"/>
      <c r="F697" s="556">
        <v>1520000</v>
      </c>
      <c r="G697" s="556">
        <v>1264258.73</v>
      </c>
      <c r="H697" s="552"/>
      <c r="I697" s="552">
        <v>380000</v>
      </c>
      <c r="J697" s="552">
        <f>290309.64+15594.55</f>
        <v>305904.19</v>
      </c>
      <c r="K697" s="623">
        <f>1570200/10*12</f>
        <v>1884240</v>
      </c>
      <c r="L697" s="35">
        <v>700000</v>
      </c>
      <c r="M697" s="35">
        <v>1900000</v>
      </c>
      <c r="N697" s="35">
        <f t="shared" si="32"/>
        <v>320000</v>
      </c>
      <c r="O697" s="35">
        <f t="shared" si="33"/>
        <v>0</v>
      </c>
      <c r="P697" s="81"/>
    </row>
    <row r="698" spans="1:16" ht="12.75">
      <c r="A698" s="562">
        <v>4212</v>
      </c>
      <c r="B698" s="556" t="s">
        <v>102</v>
      </c>
      <c r="C698" s="552">
        <v>11000000</v>
      </c>
      <c r="D698" s="557">
        <f t="shared" si="31"/>
        <v>14000000</v>
      </c>
      <c r="E698" s="558"/>
      <c r="F698" s="556">
        <v>12680000</v>
      </c>
      <c r="G698" s="556">
        <v>10080905.43</v>
      </c>
      <c r="H698" s="552"/>
      <c r="I698" s="552">
        <v>1320000</v>
      </c>
      <c r="J698" s="552">
        <v>1316144.36</v>
      </c>
      <c r="K698" s="35">
        <f>11400000/9*11</f>
        <v>13933333.333333334</v>
      </c>
      <c r="L698" s="35"/>
      <c r="M698" s="35">
        <v>15000000</v>
      </c>
      <c r="N698" s="35">
        <f t="shared" si="32"/>
        <v>-1320000</v>
      </c>
      <c r="O698" s="35">
        <f t="shared" si="33"/>
        <v>1000000</v>
      </c>
      <c r="P698" s="81"/>
    </row>
    <row r="699" spans="1:16" ht="12.75">
      <c r="A699" s="562">
        <v>4213</v>
      </c>
      <c r="B699" s="556" t="s">
        <v>103</v>
      </c>
      <c r="C699" s="552">
        <v>3700000</v>
      </c>
      <c r="D699" s="557">
        <f t="shared" si="31"/>
        <v>4000000</v>
      </c>
      <c r="E699" s="558"/>
      <c r="F699" s="556">
        <v>3700000</v>
      </c>
      <c r="G699" s="556">
        <f>2395733.82+547529.25</f>
        <v>2943263.07</v>
      </c>
      <c r="H699" s="552"/>
      <c r="I699" s="552">
        <v>300000</v>
      </c>
      <c r="J699" s="552">
        <v>247624.56</v>
      </c>
      <c r="K699" s="35">
        <f>3200000/9*11</f>
        <v>3911111.111111111</v>
      </c>
      <c r="L699" s="35">
        <v>1233000</v>
      </c>
      <c r="M699" s="35">
        <v>3900000</v>
      </c>
      <c r="N699" s="35">
        <f t="shared" si="32"/>
        <v>933000</v>
      </c>
      <c r="O699" s="35">
        <f t="shared" si="33"/>
        <v>-100000</v>
      </c>
      <c r="P699" s="81"/>
    </row>
    <row r="700" spans="1:16" ht="12.75">
      <c r="A700" s="562">
        <v>4214</v>
      </c>
      <c r="B700" s="556" t="s">
        <v>104</v>
      </c>
      <c r="C700" s="552">
        <v>1400000</v>
      </c>
      <c r="D700" s="557">
        <f t="shared" si="31"/>
        <v>2100000</v>
      </c>
      <c r="E700" s="558"/>
      <c r="F700" s="556">
        <v>1400000</v>
      </c>
      <c r="G700" s="556">
        <f>693236.28+158623.01</f>
        <v>851859.29</v>
      </c>
      <c r="H700" s="552"/>
      <c r="I700" s="552">
        <v>700000</v>
      </c>
      <c r="J700" s="552">
        <f>649627.54+10661.3</f>
        <v>660288.8400000001</v>
      </c>
      <c r="K700" s="35">
        <f>1512000/8*11</f>
        <v>2079000</v>
      </c>
      <c r="L700" s="35">
        <v>1000000</v>
      </c>
      <c r="M700" s="35">
        <v>1800000</v>
      </c>
      <c r="N700" s="35">
        <f t="shared" si="32"/>
        <v>300000</v>
      </c>
      <c r="O700" s="35">
        <f t="shared" si="33"/>
        <v>-300000</v>
      </c>
      <c r="P700" s="81"/>
    </row>
    <row r="701" spans="1:16" ht="12.75">
      <c r="A701" s="562">
        <v>4215</v>
      </c>
      <c r="B701" s="556" t="s">
        <v>169</v>
      </c>
      <c r="C701" s="552">
        <v>2600000</v>
      </c>
      <c r="D701" s="557">
        <f t="shared" si="31"/>
        <v>2000000</v>
      </c>
      <c r="E701" s="558"/>
      <c r="F701" s="556">
        <v>2000000</v>
      </c>
      <c r="G701" s="556">
        <f>1350097.01+242503.98</f>
        <v>1592600.99</v>
      </c>
      <c r="H701" s="552"/>
      <c r="I701" s="552"/>
      <c r="J701" s="552"/>
      <c r="K701" s="35">
        <f>1600000/9*11</f>
        <v>1955555.5555555555</v>
      </c>
      <c r="L701" s="35"/>
      <c r="M701" s="35">
        <v>2000000</v>
      </c>
      <c r="N701" s="35">
        <f t="shared" si="32"/>
        <v>0</v>
      </c>
      <c r="O701" s="35">
        <f t="shared" si="33"/>
        <v>0</v>
      </c>
      <c r="P701" s="81"/>
    </row>
    <row r="702" spans="1:16" ht="12.75">
      <c r="A702" s="562"/>
      <c r="B702" s="551" t="s">
        <v>604</v>
      </c>
      <c r="C702" s="551"/>
      <c r="D702" s="35"/>
      <c r="E702" s="564"/>
      <c r="F702" s="551"/>
      <c r="G702" s="551"/>
      <c r="H702" s="551"/>
      <c r="I702" s="551"/>
      <c r="J702" s="551"/>
      <c r="K702" s="35"/>
      <c r="L702" s="35"/>
      <c r="M702" s="35"/>
      <c r="N702" s="35">
        <f t="shared" si="32"/>
        <v>0</v>
      </c>
      <c r="O702" s="35">
        <f t="shared" si="33"/>
        <v>0</v>
      </c>
      <c r="P702" s="81"/>
    </row>
    <row r="703" spans="1:16" ht="12.75">
      <c r="A703" s="677">
        <v>4220</v>
      </c>
      <c r="B703" s="692" t="s">
        <v>414</v>
      </c>
      <c r="C703" s="692">
        <v>300000</v>
      </c>
      <c r="D703" s="678">
        <f t="shared" si="31"/>
        <v>300000</v>
      </c>
      <c r="E703" s="693"/>
      <c r="F703" s="692"/>
      <c r="G703" s="692"/>
      <c r="H703" s="692"/>
      <c r="I703" s="692">
        <v>300000</v>
      </c>
      <c r="J703" s="554">
        <f>213657.95+6330.59</f>
        <v>219988.54</v>
      </c>
      <c r="K703" s="35"/>
      <c r="L703" s="603"/>
      <c r="M703" s="603">
        <v>300000</v>
      </c>
      <c r="N703" s="35">
        <f t="shared" si="32"/>
        <v>-300000</v>
      </c>
      <c r="O703" s="35">
        <f t="shared" si="33"/>
        <v>0</v>
      </c>
      <c r="P703" s="81"/>
    </row>
    <row r="704" spans="1:16" ht="12.75">
      <c r="A704" s="688">
        <v>4230</v>
      </c>
      <c r="B704" s="694" t="s">
        <v>415</v>
      </c>
      <c r="C704" s="690">
        <v>9600000</v>
      </c>
      <c r="D704" s="678">
        <f t="shared" si="31"/>
        <v>10160000</v>
      </c>
      <c r="E704" s="693"/>
      <c r="F704" s="692">
        <f>F705+F706+F708+F709+F710+F711+F712</f>
        <v>2950000</v>
      </c>
      <c r="G704" s="692">
        <f>G705+G706+G708+G709+G710+G711+G712</f>
        <v>1809691.0299999998</v>
      </c>
      <c r="H704" s="692">
        <f>H705+H706+H708+H709+H710+H711+H712</f>
        <v>0</v>
      </c>
      <c r="I704" s="692">
        <f>I705+I706+I708+I709+I710+I711+I712+I707</f>
        <v>7210000</v>
      </c>
      <c r="J704" s="593">
        <f>J705+J706+J708+J709+J710+J711+J712+J707</f>
        <v>6434201.67</v>
      </c>
      <c r="K704" s="35"/>
      <c r="L704" s="603">
        <v>8350000</v>
      </c>
      <c r="M704" s="603">
        <v>9750000</v>
      </c>
      <c r="N704" s="35">
        <f t="shared" si="32"/>
        <v>1140000</v>
      </c>
      <c r="O704" s="35">
        <f t="shared" si="33"/>
        <v>-410000</v>
      </c>
      <c r="P704" s="81"/>
    </row>
    <row r="705" spans="1:16" ht="12.75">
      <c r="A705" s="555">
        <v>4232</v>
      </c>
      <c r="B705" s="556" t="s">
        <v>106</v>
      </c>
      <c r="C705" s="552">
        <v>420000</v>
      </c>
      <c r="D705" s="557">
        <f t="shared" si="31"/>
        <v>650000</v>
      </c>
      <c r="E705" s="558"/>
      <c r="F705" s="556">
        <v>350000</v>
      </c>
      <c r="G705" s="556">
        <f>27000+254298</f>
        <v>281298</v>
      </c>
      <c r="H705" s="552"/>
      <c r="I705" s="552">
        <v>300000</v>
      </c>
      <c r="J705" s="552">
        <v>210320</v>
      </c>
      <c r="K705" s="35">
        <f>500000/9*11</f>
        <v>611111.1111111111</v>
      </c>
      <c r="L705" s="35">
        <v>280000</v>
      </c>
      <c r="M705" s="35">
        <v>600000</v>
      </c>
      <c r="N705" s="35">
        <f t="shared" si="32"/>
        <v>-20000</v>
      </c>
      <c r="O705" s="35">
        <f t="shared" si="33"/>
        <v>-50000</v>
      </c>
      <c r="P705" s="81"/>
    </row>
    <row r="706" spans="1:16" ht="12.75">
      <c r="A706" s="555">
        <v>4233</v>
      </c>
      <c r="B706" s="556" t="s">
        <v>107</v>
      </c>
      <c r="C706" s="552">
        <v>1000000</v>
      </c>
      <c r="D706" s="557">
        <f t="shared" si="31"/>
        <v>1200000</v>
      </c>
      <c r="E706" s="558"/>
      <c r="F706" s="556"/>
      <c r="G706" s="556"/>
      <c r="H706" s="552"/>
      <c r="I706" s="552">
        <v>1200000</v>
      </c>
      <c r="J706" s="552">
        <v>904885.33</v>
      </c>
      <c r="K706" s="35"/>
      <c r="L706" s="35">
        <v>1000000</v>
      </c>
      <c r="M706" s="35">
        <v>1000000</v>
      </c>
      <c r="N706" s="35">
        <f t="shared" si="32"/>
        <v>-200000</v>
      </c>
      <c r="O706" s="35">
        <f t="shared" si="33"/>
        <v>-200000</v>
      </c>
      <c r="P706" s="81"/>
    </row>
    <row r="707" spans="1:16" ht="12.75">
      <c r="A707" s="555">
        <v>4233</v>
      </c>
      <c r="B707" s="617" t="s">
        <v>628</v>
      </c>
      <c r="C707" s="616"/>
      <c r="D707" s="557">
        <f t="shared" si="31"/>
        <v>160000</v>
      </c>
      <c r="E707" s="618"/>
      <c r="F707" s="617"/>
      <c r="G707" s="617"/>
      <c r="H707" s="616"/>
      <c r="I707" s="616">
        <f>120000+40000</f>
        <v>160000</v>
      </c>
      <c r="J707" s="552"/>
      <c r="K707" s="35"/>
      <c r="L707" s="35"/>
      <c r="M707" s="35"/>
      <c r="N707" s="35"/>
      <c r="O707" s="35"/>
      <c r="P707" s="81"/>
    </row>
    <row r="708" spans="1:16" ht="12.75">
      <c r="A708" s="555">
        <v>4234</v>
      </c>
      <c r="B708" s="556" t="s">
        <v>108</v>
      </c>
      <c r="C708" s="552">
        <v>600000</v>
      </c>
      <c r="D708" s="557">
        <f t="shared" si="31"/>
        <v>500000</v>
      </c>
      <c r="E708" s="558"/>
      <c r="F708" s="556">
        <v>50000</v>
      </c>
      <c r="G708" s="556"/>
      <c r="H708" s="552"/>
      <c r="I708" s="552">
        <v>450000</v>
      </c>
      <c r="J708" s="552">
        <f>442408.35</f>
        <v>442408.35</v>
      </c>
      <c r="K708" s="35">
        <f>442000/9*11</f>
        <v>540222.2222222222</v>
      </c>
      <c r="L708" s="35">
        <v>500000</v>
      </c>
      <c r="M708" s="35">
        <v>500000</v>
      </c>
      <c r="N708" s="35">
        <f t="shared" si="32"/>
        <v>50000</v>
      </c>
      <c r="O708" s="35">
        <f t="shared" si="33"/>
        <v>0</v>
      </c>
      <c r="P708" s="81"/>
    </row>
    <row r="709" spans="1:16" ht="12.75">
      <c r="A709" s="555">
        <v>4235</v>
      </c>
      <c r="B709" s="556" t="s">
        <v>109</v>
      </c>
      <c r="C709" s="552">
        <v>4500000</v>
      </c>
      <c r="D709" s="557">
        <f t="shared" si="31"/>
        <v>5000000</v>
      </c>
      <c r="E709" s="558"/>
      <c r="F709" s="556">
        <v>500000</v>
      </c>
      <c r="G709" s="556"/>
      <c r="H709" s="552"/>
      <c r="I709" s="552">
        <v>4500000</v>
      </c>
      <c r="J709" s="552">
        <f>4309105.22+152000</f>
        <v>4461105.22</v>
      </c>
      <c r="K709" s="35">
        <f>4310000/9*11</f>
        <v>5267777.777777778</v>
      </c>
      <c r="L709" s="35">
        <v>4800000</v>
      </c>
      <c r="M709" s="35">
        <v>4800000</v>
      </c>
      <c r="N709" s="35">
        <f t="shared" si="32"/>
        <v>300000</v>
      </c>
      <c r="O709" s="35">
        <f t="shared" si="33"/>
        <v>-200000</v>
      </c>
      <c r="P709" s="81"/>
    </row>
    <row r="710" spans="1:16" ht="12.75">
      <c r="A710" s="555">
        <v>4236</v>
      </c>
      <c r="B710" s="556" t="s">
        <v>110</v>
      </c>
      <c r="C710" s="552">
        <v>2000000</v>
      </c>
      <c r="D710" s="557">
        <f t="shared" si="31"/>
        <v>1600000</v>
      </c>
      <c r="E710" s="558"/>
      <c r="F710" s="556">
        <v>1600000</v>
      </c>
      <c r="G710" s="556">
        <f>595311.93+644590.7</f>
        <v>1239902.63</v>
      </c>
      <c r="H710" s="552"/>
      <c r="I710" s="552"/>
      <c r="J710" s="552"/>
      <c r="K710" s="35">
        <f>1240000/9*11</f>
        <v>1515555.5555555555</v>
      </c>
      <c r="L710" s="35">
        <v>800000</v>
      </c>
      <c r="M710" s="35">
        <v>1600000</v>
      </c>
      <c r="N710" s="35">
        <f t="shared" si="32"/>
        <v>800000</v>
      </c>
      <c r="O710" s="35">
        <f t="shared" si="33"/>
        <v>0</v>
      </c>
      <c r="P710" s="81"/>
    </row>
    <row r="711" spans="1:16" ht="12.75">
      <c r="A711" s="555">
        <v>4237</v>
      </c>
      <c r="B711" s="556" t="s">
        <v>47</v>
      </c>
      <c r="C711" s="552">
        <v>200000</v>
      </c>
      <c r="D711" s="557">
        <f t="shared" si="31"/>
        <v>300000</v>
      </c>
      <c r="E711" s="558"/>
      <c r="F711" s="556"/>
      <c r="G711" s="556"/>
      <c r="H711" s="552"/>
      <c r="I711" s="552">
        <v>300000</v>
      </c>
      <c r="J711" s="552">
        <v>128342.77</v>
      </c>
      <c r="K711" s="35"/>
      <c r="L711" s="35">
        <v>500000</v>
      </c>
      <c r="M711" s="35">
        <v>500000</v>
      </c>
      <c r="N711" s="35">
        <f t="shared" si="32"/>
        <v>200000</v>
      </c>
      <c r="O711" s="35">
        <f t="shared" si="33"/>
        <v>200000</v>
      </c>
      <c r="P711" s="81"/>
    </row>
    <row r="712" spans="1:16" ht="12.75">
      <c r="A712" s="555">
        <v>4239</v>
      </c>
      <c r="B712" s="556" t="s">
        <v>48</v>
      </c>
      <c r="C712" s="552">
        <v>880000</v>
      </c>
      <c r="D712" s="557">
        <f t="shared" si="31"/>
        <v>750000</v>
      </c>
      <c r="E712" s="558"/>
      <c r="F712" s="556">
        <v>450000</v>
      </c>
      <c r="G712" s="556">
        <f>228195.4+60295</f>
        <v>288490.4</v>
      </c>
      <c r="H712" s="552"/>
      <c r="I712" s="552">
        <v>300000</v>
      </c>
      <c r="J712" s="552">
        <v>287140</v>
      </c>
      <c r="K712" s="35">
        <f>576000/9*11</f>
        <v>704000</v>
      </c>
      <c r="L712" s="35">
        <v>470000</v>
      </c>
      <c r="M712" s="35">
        <v>750000</v>
      </c>
      <c r="N712" s="35">
        <f t="shared" si="32"/>
        <v>170000</v>
      </c>
      <c r="O712" s="35">
        <f t="shared" si="33"/>
        <v>0</v>
      </c>
      <c r="P712" s="81"/>
    </row>
    <row r="713" spans="1:16" ht="12.75">
      <c r="A713" s="688">
        <v>4240</v>
      </c>
      <c r="B713" s="694" t="s">
        <v>416</v>
      </c>
      <c r="C713" s="690">
        <v>5800000</v>
      </c>
      <c r="D713" s="678">
        <f t="shared" si="31"/>
        <v>4190000</v>
      </c>
      <c r="E713" s="693"/>
      <c r="F713" s="692">
        <f>F714+F715+F716</f>
        <v>380000</v>
      </c>
      <c r="G713" s="692">
        <f>G714+G715+G716</f>
        <v>306264.65</v>
      </c>
      <c r="H713" s="692">
        <f>H714+H715+H716</f>
        <v>0</v>
      </c>
      <c r="I713" s="692">
        <f>I714+I715+I716</f>
        <v>3810000</v>
      </c>
      <c r="J713" s="593">
        <f>J714+J715+J716</f>
        <v>3476347.1999999997</v>
      </c>
      <c r="K713" s="35"/>
      <c r="L713" s="603">
        <v>3753000</v>
      </c>
      <c r="M713" s="603">
        <v>3953000</v>
      </c>
      <c r="N713" s="35">
        <f t="shared" si="32"/>
        <v>-57000</v>
      </c>
      <c r="O713" s="35">
        <f t="shared" si="33"/>
        <v>-237000</v>
      </c>
      <c r="P713" s="81"/>
    </row>
    <row r="714" spans="1:16" ht="12.75">
      <c r="A714" s="555">
        <v>4243</v>
      </c>
      <c r="B714" s="556" t="s">
        <v>111</v>
      </c>
      <c r="C714" s="552">
        <v>5800000</v>
      </c>
      <c r="D714" s="557">
        <f t="shared" si="31"/>
        <v>3740000</v>
      </c>
      <c r="E714" s="558"/>
      <c r="F714" s="556">
        <v>140000</v>
      </c>
      <c r="G714" s="556">
        <v>138838.65</v>
      </c>
      <c r="H714" s="552"/>
      <c r="I714" s="552">
        <v>3600000</v>
      </c>
      <c r="J714" s="552">
        <v>3279598.4</v>
      </c>
      <c r="K714" s="35"/>
      <c r="L714" s="35">
        <v>3500000</v>
      </c>
      <c r="M714" s="35">
        <v>3700000</v>
      </c>
      <c r="N714" s="35">
        <f t="shared" si="32"/>
        <v>-100000</v>
      </c>
      <c r="O714" s="35">
        <f t="shared" si="33"/>
        <v>-40000</v>
      </c>
      <c r="P714" s="81"/>
    </row>
    <row r="715" spans="1:16" ht="12.75">
      <c r="A715" s="555"/>
      <c r="B715" s="556" t="s">
        <v>564</v>
      </c>
      <c r="C715" s="552"/>
      <c r="D715" s="557">
        <f t="shared" si="31"/>
        <v>10000</v>
      </c>
      <c r="E715" s="558"/>
      <c r="F715" s="556"/>
      <c r="G715" s="556"/>
      <c r="H715" s="552"/>
      <c r="I715" s="552">
        <v>10000</v>
      </c>
      <c r="J715" s="552">
        <v>7498.4</v>
      </c>
      <c r="K715" s="35"/>
      <c r="L715" s="35">
        <v>3000</v>
      </c>
      <c r="M715" s="35">
        <v>3000</v>
      </c>
      <c r="N715" s="35">
        <f t="shared" si="32"/>
        <v>-7000</v>
      </c>
      <c r="O715" s="35">
        <f t="shared" si="33"/>
        <v>-7000</v>
      </c>
      <c r="P715" s="81"/>
    </row>
    <row r="716" spans="1:16" ht="12.75">
      <c r="A716" s="555"/>
      <c r="B716" s="556" t="s">
        <v>565</v>
      </c>
      <c r="C716" s="552"/>
      <c r="D716" s="557">
        <f t="shared" si="31"/>
        <v>440000</v>
      </c>
      <c r="E716" s="558"/>
      <c r="F716" s="556">
        <v>240000</v>
      </c>
      <c r="G716" s="556">
        <f>143000+24426</f>
        <v>167426</v>
      </c>
      <c r="H716" s="552"/>
      <c r="I716" s="552">
        <v>200000</v>
      </c>
      <c r="J716" s="552">
        <v>189250.4</v>
      </c>
      <c r="K716" s="35">
        <f>360000/9*11</f>
        <v>440000</v>
      </c>
      <c r="L716" s="35">
        <v>250000</v>
      </c>
      <c r="M716" s="35">
        <v>250000</v>
      </c>
      <c r="N716" s="35">
        <f t="shared" si="32"/>
        <v>50000</v>
      </c>
      <c r="O716" s="35">
        <f t="shared" si="33"/>
        <v>-190000</v>
      </c>
      <c r="P716" s="81"/>
    </row>
    <row r="717" spans="1:16" ht="12.75">
      <c r="A717" s="688">
        <v>4250</v>
      </c>
      <c r="B717" s="694" t="s">
        <v>417</v>
      </c>
      <c r="C717" s="690">
        <v>8957000</v>
      </c>
      <c r="D717" s="678">
        <f t="shared" si="31"/>
        <v>7892000</v>
      </c>
      <c r="E717" s="693"/>
      <c r="F717" s="692">
        <f>F718+F719</f>
        <v>7532000</v>
      </c>
      <c r="G717" s="692">
        <f>G718+G719</f>
        <v>2004023.8199999998</v>
      </c>
      <c r="H717" s="692">
        <f>H718+H719</f>
        <v>0</v>
      </c>
      <c r="I717" s="692">
        <f>I718+I719+I720</f>
        <v>360000</v>
      </c>
      <c r="J717" s="593">
        <f>J718+J719+J720</f>
        <v>314209.54000000004</v>
      </c>
      <c r="K717" s="35">
        <f>2450000/9*11</f>
        <v>2994444.444444445</v>
      </c>
      <c r="L717" s="603">
        <v>3900000</v>
      </c>
      <c r="M717" s="603">
        <v>5700000</v>
      </c>
      <c r="N717" s="35">
        <f t="shared" si="32"/>
        <v>3540000</v>
      </c>
      <c r="O717" s="35">
        <f t="shared" si="33"/>
        <v>-2192000</v>
      </c>
      <c r="P717" s="81"/>
    </row>
    <row r="718" spans="1:16" ht="12.75">
      <c r="A718" s="555">
        <v>4251</v>
      </c>
      <c r="B718" s="556" t="s">
        <v>112</v>
      </c>
      <c r="C718" s="552">
        <v>7057000</v>
      </c>
      <c r="D718" s="557">
        <f t="shared" si="31"/>
        <v>6092000</v>
      </c>
      <c r="E718" s="558"/>
      <c r="F718" s="556">
        <f>1632000+6100000-1700000</f>
        <v>6032000</v>
      </c>
      <c r="G718" s="556">
        <f>527300.06+138093.2</f>
        <v>665393.26</v>
      </c>
      <c r="H718" s="552"/>
      <c r="I718" s="552">
        <v>60000</v>
      </c>
      <c r="J718" s="552">
        <f>50824.25+9854</f>
        <v>60678.25</v>
      </c>
      <c r="K718" s="35" t="s">
        <v>612</v>
      </c>
      <c r="L718" s="35">
        <v>1300000</v>
      </c>
      <c r="M718" s="35">
        <v>1900000</v>
      </c>
      <c r="N718" s="35">
        <f t="shared" si="32"/>
        <v>1240000</v>
      </c>
      <c r="O718" s="35">
        <f t="shared" si="33"/>
        <v>-4192000</v>
      </c>
      <c r="P718" s="81"/>
    </row>
    <row r="719" spans="1:16" ht="12.75">
      <c r="A719" s="555">
        <v>4252</v>
      </c>
      <c r="B719" s="556" t="s">
        <v>113</v>
      </c>
      <c r="C719" s="552">
        <v>1900000</v>
      </c>
      <c r="D719" s="557">
        <f t="shared" si="31"/>
        <v>1590000</v>
      </c>
      <c r="E719" s="558"/>
      <c r="F719" s="556">
        <v>1500000</v>
      </c>
      <c r="G719" s="556">
        <f>1233610.16+105020.4</f>
        <v>1338630.5599999998</v>
      </c>
      <c r="H719" s="552"/>
      <c r="I719" s="552">
        <v>90000</v>
      </c>
      <c r="J719" s="552">
        <f>249971.29+3560</f>
        <v>253531.29</v>
      </c>
      <c r="K719" s="615"/>
      <c r="L719" s="35">
        <v>400000</v>
      </c>
      <c r="M719" s="35">
        <v>1600000</v>
      </c>
      <c r="N719" s="35">
        <f t="shared" si="32"/>
        <v>310000</v>
      </c>
      <c r="O719" s="35">
        <f t="shared" si="33"/>
        <v>10000</v>
      </c>
      <c r="P719" s="81"/>
    </row>
    <row r="720" spans="1:16" ht="12.75">
      <c r="A720" s="555">
        <v>4252</v>
      </c>
      <c r="B720" s="617" t="s">
        <v>630</v>
      </c>
      <c r="C720" s="616"/>
      <c r="D720" s="615">
        <f>E720+F720+H720+I720</f>
        <v>210000</v>
      </c>
      <c r="E720" s="618"/>
      <c r="F720" s="617"/>
      <c r="G720" s="617"/>
      <c r="H720" s="616"/>
      <c r="I720" s="616">
        <v>210000</v>
      </c>
      <c r="J720" s="552"/>
      <c r="K720" s="35"/>
      <c r="L720" s="35"/>
      <c r="M720" s="35"/>
      <c r="N720" s="35"/>
      <c r="O720" s="35"/>
      <c r="P720" s="81"/>
    </row>
    <row r="721" spans="1:16" ht="12.75">
      <c r="A721" s="688">
        <v>4260</v>
      </c>
      <c r="B721" s="694" t="s">
        <v>418</v>
      </c>
      <c r="C721" s="690">
        <v>66163000</v>
      </c>
      <c r="D721" s="678">
        <f t="shared" si="31"/>
        <v>23215000</v>
      </c>
      <c r="E721" s="693"/>
      <c r="F721" s="692">
        <f>F722+F723+F724</f>
        <v>21855000</v>
      </c>
      <c r="G721" s="692">
        <f>G722+G723+G724</f>
        <v>14053509.290000001</v>
      </c>
      <c r="H721" s="692">
        <f>H722+H723+H724</f>
        <v>0</v>
      </c>
      <c r="I721" s="692">
        <f>I722+I723+I724</f>
        <v>1360000</v>
      </c>
      <c r="J721" s="593">
        <f>J722+J723+J724</f>
        <v>1157631.02</v>
      </c>
      <c r="K721" s="35"/>
      <c r="L721" s="603">
        <f>708000+800000+830000</f>
        <v>2338000</v>
      </c>
      <c r="M721" s="603">
        <f>4408000+800000+15845000</f>
        <v>21053000</v>
      </c>
      <c r="N721" s="35">
        <f t="shared" si="32"/>
        <v>978000</v>
      </c>
      <c r="O721" s="35">
        <f t="shared" si="33"/>
        <v>-2162000</v>
      </c>
      <c r="P721" s="81"/>
    </row>
    <row r="722" spans="1:16" ht="12.75">
      <c r="A722" s="555">
        <v>4261</v>
      </c>
      <c r="B722" s="556" t="s">
        <v>114</v>
      </c>
      <c r="C722" s="552">
        <v>5000000</v>
      </c>
      <c r="D722" s="557">
        <f t="shared" si="31"/>
        <v>5300000</v>
      </c>
      <c r="E722" s="558"/>
      <c r="F722" s="556">
        <v>4700000</v>
      </c>
      <c r="G722" s="556">
        <f>2247358.25+1434717.98</f>
        <v>3682076.23</v>
      </c>
      <c r="H722" s="552"/>
      <c r="I722" s="552">
        <v>600000</v>
      </c>
      <c r="J722" s="552">
        <v>605987</v>
      </c>
      <c r="K722" s="35">
        <f>4288063/9*11</f>
        <v>5240965.888888889</v>
      </c>
      <c r="L722" s="35">
        <v>708000</v>
      </c>
      <c r="M722" s="35">
        <v>4408000</v>
      </c>
      <c r="N722" s="35">
        <f t="shared" si="32"/>
        <v>108000</v>
      </c>
      <c r="O722" s="35">
        <f t="shared" si="33"/>
        <v>-892000</v>
      </c>
      <c r="P722" s="81"/>
    </row>
    <row r="723" spans="1:16" ht="12.75">
      <c r="A723" s="555">
        <v>4263</v>
      </c>
      <c r="B723" s="556" t="s">
        <v>115</v>
      </c>
      <c r="C723" s="552">
        <v>1500000</v>
      </c>
      <c r="D723" s="557">
        <f t="shared" si="31"/>
        <v>700000</v>
      </c>
      <c r="E723" s="558"/>
      <c r="F723" s="556"/>
      <c r="G723" s="556"/>
      <c r="H723" s="552"/>
      <c r="I723" s="552">
        <v>700000</v>
      </c>
      <c r="J723" s="552">
        <v>491790.02</v>
      </c>
      <c r="K723" s="35"/>
      <c r="L723" s="35">
        <v>800000</v>
      </c>
      <c r="M723" s="35">
        <v>800000</v>
      </c>
      <c r="N723" s="35">
        <f t="shared" si="32"/>
        <v>100000</v>
      </c>
      <c r="O723" s="35">
        <f t="shared" si="33"/>
        <v>100000</v>
      </c>
      <c r="P723" s="81"/>
    </row>
    <row r="724" spans="1:16" ht="12.75">
      <c r="A724" s="555">
        <v>4264</v>
      </c>
      <c r="B724" s="556" t="s">
        <v>419</v>
      </c>
      <c r="C724" s="552">
        <v>19762000</v>
      </c>
      <c r="D724" s="557">
        <f t="shared" si="31"/>
        <v>17215000</v>
      </c>
      <c r="E724" s="558"/>
      <c r="F724" s="556">
        <v>17155000</v>
      </c>
      <c r="G724" s="556">
        <f>10305130.5+66302.56</f>
        <v>10371433.06</v>
      </c>
      <c r="H724" s="552"/>
      <c r="I724" s="552">
        <v>60000</v>
      </c>
      <c r="J724" s="552">
        <v>59854</v>
      </c>
      <c r="K724" s="35"/>
      <c r="L724" s="35">
        <v>830000</v>
      </c>
      <c r="M724" s="35">
        <v>15845000</v>
      </c>
      <c r="N724" s="35">
        <f t="shared" si="32"/>
        <v>770000</v>
      </c>
      <c r="O724" s="35">
        <f t="shared" si="33"/>
        <v>-1370000</v>
      </c>
      <c r="P724" s="81"/>
    </row>
    <row r="725" spans="1:16" ht="12.75">
      <c r="A725" s="688"/>
      <c r="B725" s="692" t="s">
        <v>566</v>
      </c>
      <c r="C725" s="692">
        <v>35079000</v>
      </c>
      <c r="D725" s="678">
        <f>E725+F725+H725+I725</f>
        <v>34898000</v>
      </c>
      <c r="E725" s="693"/>
      <c r="F725" s="692">
        <f>F726+F727+F731+F734+F735+F736</f>
        <v>27738000</v>
      </c>
      <c r="G725" s="692">
        <f>G726+G727+G731+G734+G735+G736</f>
        <v>22026136.9</v>
      </c>
      <c r="H725" s="692">
        <f>H726+H727+H731+H734+H735+H736</f>
        <v>0</v>
      </c>
      <c r="I725" s="692">
        <f>I726+I727+I731+I734+I735+I736</f>
        <v>7160000</v>
      </c>
      <c r="J725" s="593">
        <f>J726+J727+J731+J734+J735+J736</f>
        <v>6846731.33</v>
      </c>
      <c r="K725" s="35"/>
      <c r="L725" s="603">
        <f>1000000+1350000+1539000+2800000</f>
        <v>6689000</v>
      </c>
      <c r="M725" s="603">
        <f>13481000+2050000+2900000+12957000+1500000+2200000</f>
        <v>35088000</v>
      </c>
      <c r="N725" s="35">
        <f t="shared" si="32"/>
        <v>-471000</v>
      </c>
      <c r="O725" s="35">
        <f t="shared" si="33"/>
        <v>190000</v>
      </c>
      <c r="P725" s="81"/>
    </row>
    <row r="726" spans="1:16" ht="12.75">
      <c r="A726" s="555">
        <v>426711</v>
      </c>
      <c r="B726" s="556" t="s">
        <v>420</v>
      </c>
      <c r="C726" s="551">
        <v>18451000</v>
      </c>
      <c r="D726" s="557">
        <f t="shared" si="31"/>
        <v>13051000</v>
      </c>
      <c r="E726" s="558"/>
      <c r="F726" s="556">
        <v>10051000</v>
      </c>
      <c r="G726" s="556">
        <f>19893544.21+53395</f>
        <v>19946939.21</v>
      </c>
      <c r="H726" s="552"/>
      <c r="I726" s="552">
        <v>3000000</v>
      </c>
      <c r="J726" s="552">
        <v>5969590.44</v>
      </c>
      <c r="K726" s="35"/>
      <c r="L726" s="35">
        <v>2800000</v>
      </c>
      <c r="M726" s="35">
        <v>13481000</v>
      </c>
      <c r="N726" s="35">
        <f t="shared" si="32"/>
        <v>-200000</v>
      </c>
      <c r="O726" s="35">
        <f t="shared" si="33"/>
        <v>430000</v>
      </c>
      <c r="P726" s="81"/>
    </row>
    <row r="727" spans="1:16" ht="12.75">
      <c r="A727" s="566">
        <v>426751</v>
      </c>
      <c r="B727" s="556" t="s">
        <v>567</v>
      </c>
      <c r="C727" s="556"/>
      <c r="D727" s="35">
        <f t="shared" si="31"/>
        <v>2700000</v>
      </c>
      <c r="E727" s="556"/>
      <c r="F727" s="556">
        <v>2700000</v>
      </c>
      <c r="G727" s="556"/>
      <c r="H727" s="552"/>
      <c r="I727" s="552"/>
      <c r="J727" s="552"/>
      <c r="K727" s="35"/>
      <c r="L727" s="35"/>
      <c r="M727" s="35">
        <v>2050000</v>
      </c>
      <c r="N727" s="35">
        <f t="shared" si="32"/>
        <v>0</v>
      </c>
      <c r="O727" s="35">
        <f t="shared" si="33"/>
        <v>-650000</v>
      </c>
      <c r="P727" s="81"/>
    </row>
    <row r="728" spans="1:16" ht="12.75">
      <c r="A728" s="566"/>
      <c r="B728" s="598"/>
      <c r="C728" s="598"/>
      <c r="D728" s="51"/>
      <c r="E728" s="598"/>
      <c r="F728" s="598"/>
      <c r="G728" s="598"/>
      <c r="H728" s="599"/>
      <c r="I728" s="599"/>
      <c r="J728" s="599"/>
      <c r="K728" s="81"/>
      <c r="L728" s="81"/>
      <c r="M728" s="27"/>
      <c r="N728" s="35">
        <f t="shared" si="32"/>
        <v>0</v>
      </c>
      <c r="O728" s="35">
        <f t="shared" si="33"/>
        <v>0</v>
      </c>
      <c r="P728" s="81"/>
    </row>
    <row r="729" spans="1:16" ht="12.75">
      <c r="A729" s="567"/>
      <c r="B729" s="568" t="s">
        <v>610</v>
      </c>
      <c r="C729" s="568"/>
      <c r="D729" s="569"/>
      <c r="E729" s="568"/>
      <c r="F729" s="566" t="s">
        <v>221</v>
      </c>
      <c r="G729" s="566"/>
      <c r="H729" s="570" t="s">
        <v>439</v>
      </c>
      <c r="I729" s="540"/>
      <c r="J729" s="540"/>
      <c r="K729" s="81"/>
      <c r="L729" s="81"/>
      <c r="M729" s="27"/>
      <c r="N729" s="35">
        <f t="shared" si="32"/>
        <v>0</v>
      </c>
      <c r="O729" s="35">
        <f t="shared" si="33"/>
        <v>0</v>
      </c>
      <c r="P729" s="81"/>
    </row>
    <row r="730" spans="1:16" ht="56.25">
      <c r="A730" s="571" t="s">
        <v>399</v>
      </c>
      <c r="B730" s="571" t="s">
        <v>400</v>
      </c>
      <c r="C730" s="586" t="s">
        <v>401</v>
      </c>
      <c r="D730" s="573" t="s">
        <v>562</v>
      </c>
      <c r="E730" s="586" t="s">
        <v>402</v>
      </c>
      <c r="F730" s="586" t="s">
        <v>403</v>
      </c>
      <c r="G730" s="661" t="s">
        <v>650</v>
      </c>
      <c r="H730" s="574" t="s">
        <v>397</v>
      </c>
      <c r="I730" s="575" t="s">
        <v>404</v>
      </c>
      <c r="J730" s="662" t="s">
        <v>649</v>
      </c>
      <c r="K730" s="474" t="s">
        <v>617</v>
      </c>
      <c r="L730" s="760" t="s">
        <v>618</v>
      </c>
      <c r="M730" s="761"/>
      <c r="N730" s="35" t="s">
        <v>620</v>
      </c>
      <c r="O730" s="35"/>
      <c r="P730" s="81"/>
    </row>
    <row r="731" spans="1:16" ht="12.75">
      <c r="A731" s="555">
        <v>426713</v>
      </c>
      <c r="B731" s="617" t="s">
        <v>606</v>
      </c>
      <c r="C731" s="616">
        <v>3200000</v>
      </c>
      <c r="D731" s="615">
        <f>E731+F731+H731+I731</f>
        <v>3269000</v>
      </c>
      <c r="E731" s="618"/>
      <c r="F731" s="617">
        <f>F732+F733</f>
        <v>1209000</v>
      </c>
      <c r="G731" s="617"/>
      <c r="H731" s="616"/>
      <c r="I731" s="616">
        <v>2060000</v>
      </c>
      <c r="J731" s="552"/>
      <c r="K731" s="35"/>
      <c r="L731" s="35">
        <v>1539000</v>
      </c>
      <c r="M731" s="35">
        <v>2900000</v>
      </c>
      <c r="N731" s="35">
        <f t="shared" si="32"/>
        <v>-521000</v>
      </c>
      <c r="O731" s="35">
        <f t="shared" si="33"/>
        <v>-369000</v>
      </c>
      <c r="P731" s="81"/>
    </row>
    <row r="732" spans="1:16" ht="12.75">
      <c r="A732" s="555"/>
      <c r="B732" s="556" t="s">
        <v>607</v>
      </c>
      <c r="C732" s="552"/>
      <c r="D732" s="557">
        <f>E732+F732+H732+I732</f>
        <v>579000</v>
      </c>
      <c r="E732" s="558"/>
      <c r="F732" s="556">
        <v>579000</v>
      </c>
      <c r="G732" s="556"/>
      <c r="H732" s="552"/>
      <c r="I732" s="552"/>
      <c r="J732" s="552"/>
      <c r="K732" s="35"/>
      <c r="L732" s="35"/>
      <c r="M732" s="35"/>
      <c r="N732" s="35">
        <f t="shared" si="32"/>
        <v>0</v>
      </c>
      <c r="O732" s="35">
        <f t="shared" si="33"/>
        <v>-579000</v>
      </c>
      <c r="P732" s="81"/>
    </row>
    <row r="733" spans="1:16" ht="12.75">
      <c r="A733" s="555"/>
      <c r="B733" s="556" t="s">
        <v>608</v>
      </c>
      <c r="C733" s="552"/>
      <c r="D733" s="557">
        <f>E733+F733+H733+I733</f>
        <v>630000</v>
      </c>
      <c r="E733" s="558"/>
      <c r="F733" s="556">
        <v>630000</v>
      </c>
      <c r="G733" s="556"/>
      <c r="H733" s="552"/>
      <c r="I733" s="552"/>
      <c r="J733" s="552"/>
      <c r="K733" s="35"/>
      <c r="L733" s="35"/>
      <c r="M733" s="35"/>
      <c r="N733" s="35">
        <f t="shared" si="32"/>
        <v>0</v>
      </c>
      <c r="O733" s="35">
        <f t="shared" si="33"/>
        <v>-630000</v>
      </c>
      <c r="P733" s="81"/>
    </row>
    <row r="734" spans="1:16" ht="12.75">
      <c r="A734" s="555">
        <v>426751</v>
      </c>
      <c r="B734" s="556" t="s">
        <v>421</v>
      </c>
      <c r="C734" s="551">
        <v>13428000</v>
      </c>
      <c r="D734" s="557">
        <f aca="true" t="shared" si="34" ref="D734:D740">E734+F734+H734+I734</f>
        <v>12228000</v>
      </c>
      <c r="E734" s="558"/>
      <c r="F734" s="556">
        <v>11028000</v>
      </c>
      <c r="G734" s="556"/>
      <c r="H734" s="552"/>
      <c r="I734" s="552">
        <v>1200000</v>
      </c>
      <c r="J734" s="552"/>
      <c r="K734" s="35"/>
      <c r="L734" s="35">
        <v>1350000</v>
      </c>
      <c r="M734" s="35">
        <v>12957000</v>
      </c>
      <c r="N734" s="35">
        <f t="shared" si="32"/>
        <v>150000</v>
      </c>
      <c r="O734" s="35">
        <f t="shared" si="33"/>
        <v>729000</v>
      </c>
      <c r="P734" s="81"/>
    </row>
    <row r="735" spans="1:16" ht="12.75">
      <c r="A735" s="563">
        <v>4268</v>
      </c>
      <c r="B735" s="551" t="s">
        <v>118</v>
      </c>
      <c r="C735" s="551">
        <v>2000000</v>
      </c>
      <c r="D735" s="557">
        <f t="shared" si="34"/>
        <v>1650000</v>
      </c>
      <c r="E735" s="564"/>
      <c r="F735" s="551">
        <v>1650000</v>
      </c>
      <c r="G735" s="551">
        <f>893222.58+458759</f>
        <v>1351981.58</v>
      </c>
      <c r="H735" s="551"/>
      <c r="I735" s="551"/>
      <c r="J735" s="551"/>
      <c r="K735" s="35">
        <f>1350000/9*11</f>
        <v>1650000</v>
      </c>
      <c r="L735" s="35"/>
      <c r="M735" s="35">
        <v>1500000</v>
      </c>
      <c r="N735" s="35">
        <f t="shared" si="32"/>
        <v>0</v>
      </c>
      <c r="O735" s="35">
        <f t="shared" si="33"/>
        <v>-150000</v>
      </c>
      <c r="P735" s="81"/>
    </row>
    <row r="736" spans="1:16" ht="12.75">
      <c r="A736" s="563">
        <v>4269</v>
      </c>
      <c r="B736" s="551" t="s">
        <v>119</v>
      </c>
      <c r="C736" s="551">
        <v>2822000</v>
      </c>
      <c r="D736" s="557">
        <f t="shared" si="34"/>
        <v>2000000</v>
      </c>
      <c r="E736" s="564"/>
      <c r="F736" s="551">
        <v>1100000</v>
      </c>
      <c r="G736" s="551">
        <f>693584.21+33631.9</f>
        <v>727216.11</v>
      </c>
      <c r="H736" s="551"/>
      <c r="I736" s="551">
        <v>900000</v>
      </c>
      <c r="J736" s="551">
        <v>877140.89</v>
      </c>
      <c r="K736" s="35">
        <f>1600000/9*11</f>
        <v>1955555.5555555555</v>
      </c>
      <c r="L736" s="35">
        <v>1000000</v>
      </c>
      <c r="M736" s="35">
        <v>2200000</v>
      </c>
      <c r="N736" s="35">
        <f t="shared" si="32"/>
        <v>100000</v>
      </c>
      <c r="O736" s="35">
        <f t="shared" si="33"/>
        <v>200000</v>
      </c>
      <c r="P736" s="81"/>
    </row>
    <row r="737" spans="1:16" ht="12.75">
      <c r="A737" s="688">
        <v>4300</v>
      </c>
      <c r="B737" s="690" t="s">
        <v>423</v>
      </c>
      <c r="C737" s="690">
        <v>400000</v>
      </c>
      <c r="D737" s="678">
        <f t="shared" si="34"/>
        <v>400000</v>
      </c>
      <c r="E737" s="693"/>
      <c r="F737" s="692"/>
      <c r="G737" s="692"/>
      <c r="H737" s="692"/>
      <c r="I737" s="692">
        <v>400000</v>
      </c>
      <c r="J737" s="554"/>
      <c r="K737" s="35"/>
      <c r="L737" s="603">
        <v>400000</v>
      </c>
      <c r="M737" s="603">
        <v>400000</v>
      </c>
      <c r="N737" s="35">
        <f t="shared" si="32"/>
        <v>0</v>
      </c>
      <c r="O737" s="35">
        <f t="shared" si="33"/>
        <v>0</v>
      </c>
      <c r="P737" s="81"/>
    </row>
    <row r="738" spans="1:16" ht="22.5">
      <c r="A738" s="688">
        <v>4400</v>
      </c>
      <c r="B738" s="689" t="s">
        <v>424</v>
      </c>
      <c r="C738" s="690">
        <v>40000</v>
      </c>
      <c r="D738" s="678">
        <f t="shared" si="34"/>
        <v>40000</v>
      </c>
      <c r="E738" s="693"/>
      <c r="F738" s="692"/>
      <c r="G738" s="692"/>
      <c r="H738" s="692"/>
      <c r="I738" s="692">
        <v>40000</v>
      </c>
      <c r="J738" s="554"/>
      <c r="K738" s="35"/>
      <c r="L738" s="603">
        <v>40000</v>
      </c>
      <c r="M738" s="603">
        <v>40000</v>
      </c>
      <c r="N738" s="35">
        <f t="shared" si="32"/>
        <v>0</v>
      </c>
      <c r="O738" s="35">
        <f t="shared" si="33"/>
        <v>0</v>
      </c>
      <c r="P738" s="81"/>
    </row>
    <row r="739" spans="1:16" ht="12.75">
      <c r="A739" s="688">
        <v>4800</v>
      </c>
      <c r="B739" s="689" t="s">
        <v>425</v>
      </c>
      <c r="C739" s="690">
        <v>2800000</v>
      </c>
      <c r="D739" s="678">
        <f t="shared" si="34"/>
        <v>2800000</v>
      </c>
      <c r="E739" s="693"/>
      <c r="F739" s="692">
        <f>F740</f>
        <v>0</v>
      </c>
      <c r="G739" s="692"/>
      <c r="H739" s="692">
        <f>H740</f>
        <v>0</v>
      </c>
      <c r="I739" s="692">
        <v>2800000</v>
      </c>
      <c r="J739" s="554">
        <f>1728440+121618.44</f>
        <v>1850058.44</v>
      </c>
      <c r="K739" s="35"/>
      <c r="L739" s="603">
        <v>2543662</v>
      </c>
      <c r="M739" s="603">
        <v>2900000</v>
      </c>
      <c r="N739" s="35">
        <f t="shared" si="32"/>
        <v>-256338</v>
      </c>
      <c r="O739" s="35">
        <f t="shared" si="33"/>
        <v>100000</v>
      </c>
      <c r="P739" s="81"/>
    </row>
    <row r="740" spans="1:16" ht="12.75">
      <c r="A740" s="555">
        <v>4820</v>
      </c>
      <c r="B740" s="556" t="s">
        <v>426</v>
      </c>
      <c r="C740" s="551">
        <v>2800000</v>
      </c>
      <c r="D740" s="557">
        <f t="shared" si="34"/>
        <v>0</v>
      </c>
      <c r="E740" s="558"/>
      <c r="F740" s="556"/>
      <c r="G740" s="556">
        <f>89199+132217</f>
        <v>221416</v>
      </c>
      <c r="H740" s="552"/>
      <c r="I740" s="552"/>
      <c r="J740" s="552">
        <f>17522.02+4446.44+48366+28700+23750</f>
        <v>122784.45999999999</v>
      </c>
      <c r="K740" s="35"/>
      <c r="L740" s="35"/>
      <c r="M740" s="35"/>
      <c r="N740" s="35">
        <f t="shared" si="32"/>
        <v>0</v>
      </c>
      <c r="O740" s="35">
        <f t="shared" si="33"/>
        <v>0</v>
      </c>
      <c r="P740" s="81"/>
    </row>
    <row r="741" spans="1:16" ht="12.75">
      <c r="A741" s="594"/>
      <c r="B741" s="595" t="s">
        <v>449</v>
      </c>
      <c r="C741" s="595">
        <v>594760000</v>
      </c>
      <c r="D741" s="596">
        <f aca="true" t="shared" si="35" ref="D741:I741">D739+D738+D737+D725+D721+D717+D713+D704+D703+D696+D693+D690+D689+D688+D684</f>
        <v>607440000</v>
      </c>
      <c r="E741" s="596">
        <f t="shared" si="35"/>
        <v>6500000</v>
      </c>
      <c r="F741" s="596">
        <f t="shared" si="35"/>
        <v>547076849.02</v>
      </c>
      <c r="G741" s="596">
        <f t="shared" si="35"/>
        <v>439402253.22</v>
      </c>
      <c r="H741" s="596">
        <f t="shared" si="35"/>
        <v>0</v>
      </c>
      <c r="I741" s="596">
        <f t="shared" si="35"/>
        <v>53863150.98000002</v>
      </c>
      <c r="J741" s="597">
        <f>J739+J738+J737+J725+J721+J717+J713+J704+J703+J696+J693+J690+J688+J687+J684</f>
        <v>31048268.549999997</v>
      </c>
      <c r="K741" s="597">
        <f>K739+K738+K737+K725+K721+K717+K713+K704+K703+K696+K693+K690+K688+K687+K684</f>
        <v>1720962775.0364444</v>
      </c>
      <c r="L741" s="597">
        <f>L739+L738+L737+L725+L721+L717+L713+L704+L703+L696+L693+L690+L688+L687+L684</f>
        <v>68597040</v>
      </c>
      <c r="M741" s="597">
        <f>M739+M738+M737+M725+M721+M717+M713+M704+M703+M696+M693+M690+M688+M687+M684</f>
        <v>609814000</v>
      </c>
      <c r="N741" s="35">
        <f t="shared" si="32"/>
        <v>14733889.01999998</v>
      </c>
      <c r="O741" s="35">
        <f t="shared" si="33"/>
        <v>2374000</v>
      </c>
      <c r="P741" s="81"/>
    </row>
    <row r="742" spans="1:16" ht="13.5" thickBot="1">
      <c r="A742" s="91"/>
      <c r="B742" s="456"/>
      <c r="C742" s="521"/>
      <c r="D742" s="521"/>
      <c r="E742" s="514"/>
      <c r="F742" s="673"/>
      <c r="G742" s="634"/>
      <c r="H742" s="514"/>
      <c r="I742" s="514"/>
      <c r="J742" s="514">
        <f>28689325.85+2261738.62</f>
        <v>30951064.470000003</v>
      </c>
      <c r="K742" s="81"/>
      <c r="L742" s="81"/>
      <c r="M742" s="81"/>
      <c r="N742" s="35">
        <f t="shared" si="32"/>
        <v>0</v>
      </c>
      <c r="O742" s="35">
        <f t="shared" si="33"/>
        <v>0</v>
      </c>
      <c r="P742" s="81"/>
    </row>
    <row r="743" spans="1:16" ht="12.75">
      <c r="A743" s="91"/>
      <c r="B743" s="541"/>
      <c r="C743" s="679"/>
      <c r="D743" s="679"/>
      <c r="E743" s="634"/>
      <c r="F743" s="634"/>
      <c r="G743" s="634"/>
      <c r="H743" s="634"/>
      <c r="I743" s="634"/>
      <c r="J743" s="606">
        <f>J741-J742</f>
        <v>97204.07999999449</v>
      </c>
      <c r="K743" s="607"/>
      <c r="L743" s="607"/>
      <c r="M743" s="607"/>
      <c r="N743" s="35"/>
      <c r="O743" s="35"/>
      <c r="P743" s="81"/>
    </row>
    <row r="744" spans="1:16" ht="12.75">
      <c r="A744" s="91"/>
      <c r="B744" s="541"/>
      <c r="C744" s="679"/>
      <c r="D744" s="679"/>
      <c r="E744" s="634"/>
      <c r="F744" s="634"/>
      <c r="G744" s="634"/>
      <c r="H744" s="634"/>
      <c r="I744" s="634"/>
      <c r="J744" s="606"/>
      <c r="K744" s="607"/>
      <c r="L744" s="607"/>
      <c r="M744" s="607"/>
      <c r="N744" s="35"/>
      <c r="O744" s="35"/>
      <c r="P744" s="81"/>
    </row>
    <row r="745" spans="1:16" ht="12.75">
      <c r="A745" s="91"/>
      <c r="B745" s="541"/>
      <c r="C745" s="679"/>
      <c r="D745" s="679"/>
      <c r="E745" s="634"/>
      <c r="F745" s="634"/>
      <c r="G745" s="634"/>
      <c r="H745" s="634"/>
      <c r="I745" s="634"/>
      <c r="J745" s="606"/>
      <c r="K745" s="607"/>
      <c r="L745" s="607"/>
      <c r="M745" s="607"/>
      <c r="N745" s="35"/>
      <c r="O745" s="35"/>
      <c r="P745" s="81"/>
    </row>
    <row r="746" spans="1:16" ht="12.75">
      <c r="A746" s="91"/>
      <c r="B746" s="541"/>
      <c r="C746" s="679"/>
      <c r="D746" s="679"/>
      <c r="E746" s="634"/>
      <c r="F746" s="634"/>
      <c r="G746" s="634"/>
      <c r="H746" s="634"/>
      <c r="I746" s="634"/>
      <c r="J746" s="606"/>
      <c r="K746" s="607"/>
      <c r="L746" s="607"/>
      <c r="M746" s="607"/>
      <c r="N746" s="35"/>
      <c r="O746" s="35"/>
      <c r="P746" s="81"/>
    </row>
    <row r="747" spans="1:16" ht="12.75">
      <c r="A747" s="91"/>
      <c r="B747" s="541"/>
      <c r="C747" s="679"/>
      <c r="D747" s="679"/>
      <c r="E747" s="634"/>
      <c r="F747" s="634"/>
      <c r="G747" s="634"/>
      <c r="H747" s="634"/>
      <c r="I747" s="634"/>
      <c r="J747" s="606"/>
      <c r="K747" s="607"/>
      <c r="L747" s="607"/>
      <c r="M747" s="607"/>
      <c r="N747" s="35"/>
      <c r="O747" s="35"/>
      <c r="P747" s="81"/>
    </row>
    <row r="748" spans="1:16" ht="12.75">
      <c r="A748" s="91"/>
      <c r="B748" s="541"/>
      <c r="C748" s="679"/>
      <c r="D748" s="679"/>
      <c r="E748" s="634"/>
      <c r="F748" s="634"/>
      <c r="G748" s="634"/>
      <c r="H748" s="634"/>
      <c r="I748" s="634"/>
      <c r="J748" s="606"/>
      <c r="K748" s="607"/>
      <c r="L748" s="607"/>
      <c r="M748" s="607"/>
      <c r="N748" s="35"/>
      <c r="O748" s="35"/>
      <c r="P748" s="81"/>
    </row>
    <row r="749" spans="1:16" ht="12.75">
      <c r="A749" s="91"/>
      <c r="B749" s="541"/>
      <c r="C749" s="679"/>
      <c r="D749" s="679"/>
      <c r="E749" s="634"/>
      <c r="F749" s="634"/>
      <c r="G749" s="634"/>
      <c r="H749" s="634"/>
      <c r="I749" s="634"/>
      <c r="J749" s="606"/>
      <c r="K749" s="607"/>
      <c r="L749" s="607"/>
      <c r="M749" s="607"/>
      <c r="N749" s="35"/>
      <c r="O749" s="35"/>
      <c r="P749" s="81"/>
    </row>
    <row r="750" spans="2:16" ht="12.75">
      <c r="B750" s="28" t="s">
        <v>662</v>
      </c>
      <c r="C750" s="522"/>
      <c r="D750" s="92"/>
      <c r="E750" s="522"/>
      <c r="F750" s="50"/>
      <c r="G750" s="50"/>
      <c r="H750" s="50"/>
      <c r="I750" s="50"/>
      <c r="J750" s="50"/>
      <c r="K750" s="81"/>
      <c r="L750" s="81"/>
      <c r="M750" s="81"/>
      <c r="N750" s="35">
        <f t="shared" si="32"/>
        <v>0</v>
      </c>
      <c r="O750" s="35">
        <f t="shared" si="33"/>
        <v>0</v>
      </c>
      <c r="P750" s="81"/>
    </row>
    <row r="751" spans="1:16" ht="56.25">
      <c r="A751" s="435" t="s">
        <v>399</v>
      </c>
      <c r="B751" s="435" t="s">
        <v>400</v>
      </c>
      <c r="C751" s="167" t="s">
        <v>401</v>
      </c>
      <c r="D751" s="123" t="s">
        <v>562</v>
      </c>
      <c r="E751" s="167" t="s">
        <v>655</v>
      </c>
      <c r="F751" s="167" t="s">
        <v>403</v>
      </c>
      <c r="G751" s="661" t="s">
        <v>650</v>
      </c>
      <c r="H751" s="438" t="s">
        <v>397</v>
      </c>
      <c r="I751" s="439" t="s">
        <v>404</v>
      </c>
      <c r="J751" s="662" t="s">
        <v>649</v>
      </c>
      <c r="K751" s="474" t="s">
        <v>617</v>
      </c>
      <c r="L751" s="762" t="s">
        <v>618</v>
      </c>
      <c r="M751" s="762"/>
      <c r="N751" s="35" t="s">
        <v>620</v>
      </c>
      <c r="O751" s="35"/>
      <c r="P751" s="81"/>
    </row>
    <row r="752" spans="1:16" ht="12.75">
      <c r="A752" s="438">
        <v>51110</v>
      </c>
      <c r="B752" s="438" t="s">
        <v>432</v>
      </c>
      <c r="C752" s="546">
        <v>14618350</v>
      </c>
      <c r="D752" s="37">
        <f>E752+F752+H752+I752</f>
        <v>3300000</v>
      </c>
      <c r="E752" s="431">
        <f>E753+E754+E755+E756+E757+E758+E759+E760</f>
        <v>1500000</v>
      </c>
      <c r="F752" s="431">
        <f>F753+F754+F755+F756+F757+F758+F759+F760</f>
        <v>0</v>
      </c>
      <c r="G752" s="431"/>
      <c r="H752" s="431">
        <f>H753+H754+H755+H756+H757+H758+H759+H760</f>
        <v>1200000</v>
      </c>
      <c r="I752" s="431">
        <f>I753+I754+I755+I756+I757+I758+I759+I760</f>
        <v>600000</v>
      </c>
      <c r="J752" s="431">
        <f>J753+J754+J755+J756+J757+J758+J759+J760</f>
        <v>573554.34</v>
      </c>
      <c r="K752" s="35" t="s">
        <v>611</v>
      </c>
      <c r="L752" s="35"/>
      <c r="M752" s="35"/>
      <c r="N752" s="35">
        <f t="shared" si="32"/>
        <v>-600000</v>
      </c>
      <c r="O752" s="35">
        <f t="shared" si="33"/>
        <v>-3300000</v>
      </c>
      <c r="P752" s="81"/>
    </row>
    <row r="753" spans="1:16" ht="12.75">
      <c r="A753" s="436"/>
      <c r="B753" s="34" t="s">
        <v>651</v>
      </c>
      <c r="C753" s="101">
        <v>3876350</v>
      </c>
      <c r="D753" s="35">
        <f aca="true" t="shared" si="36" ref="D753:D769">E753+F753+H753+I753</f>
        <v>1200000</v>
      </c>
      <c r="E753" s="424"/>
      <c r="F753" s="424"/>
      <c r="G753" s="424"/>
      <c r="H753" s="424">
        <v>1200000</v>
      </c>
      <c r="I753" s="424"/>
      <c r="J753" s="424"/>
      <c r="K753" s="35" t="s">
        <v>613</v>
      </c>
      <c r="L753" s="35"/>
      <c r="M753" s="35"/>
      <c r="N753" s="35">
        <f t="shared" si="32"/>
        <v>0</v>
      </c>
      <c r="O753" s="35">
        <f t="shared" si="33"/>
        <v>-1200000</v>
      </c>
      <c r="P753" s="81"/>
    </row>
    <row r="754" spans="1:16" ht="12.75">
      <c r="A754" s="436"/>
      <c r="B754" s="436" t="s">
        <v>442</v>
      </c>
      <c r="C754" s="101">
        <f>E754+F754+H754+I754</f>
        <v>0</v>
      </c>
      <c r="D754" s="35">
        <f t="shared" si="36"/>
        <v>0</v>
      </c>
      <c r="E754" s="424"/>
      <c r="F754" s="424"/>
      <c r="G754" s="424"/>
      <c r="H754" s="424"/>
      <c r="I754" s="424"/>
      <c r="J754" s="424"/>
      <c r="K754" s="35"/>
      <c r="L754" s="35"/>
      <c r="M754" s="35"/>
      <c r="N754" s="35">
        <f t="shared" si="32"/>
        <v>0</v>
      </c>
      <c r="O754" s="35">
        <f t="shared" si="33"/>
        <v>0</v>
      </c>
      <c r="P754" s="81"/>
    </row>
    <row r="755" spans="1:16" ht="12.75">
      <c r="A755" s="436"/>
      <c r="B755" s="436" t="s">
        <v>443</v>
      </c>
      <c r="C755" s="101">
        <v>2500000</v>
      </c>
      <c r="D755" s="35">
        <f t="shared" si="36"/>
        <v>1500000</v>
      </c>
      <c r="E755" s="424">
        <v>1500000</v>
      </c>
      <c r="F755" s="424"/>
      <c r="G755" s="424"/>
      <c r="H755" s="424"/>
      <c r="I755" s="424"/>
      <c r="J755" s="424"/>
      <c r="K755" s="35" t="s">
        <v>613</v>
      </c>
      <c r="L755" s="35"/>
      <c r="M755" s="35"/>
      <c r="N755" s="35">
        <f t="shared" si="32"/>
        <v>0</v>
      </c>
      <c r="O755" s="35">
        <f t="shared" si="33"/>
        <v>-1500000</v>
      </c>
      <c r="P755" s="81"/>
    </row>
    <row r="756" spans="1:16" ht="12.75">
      <c r="A756" s="436"/>
      <c r="B756" s="436" t="s">
        <v>444</v>
      </c>
      <c r="C756" s="101">
        <f>E756+F756+H756+I756</f>
        <v>0</v>
      </c>
      <c r="D756" s="35">
        <f t="shared" si="36"/>
        <v>0</v>
      </c>
      <c r="E756" s="424"/>
      <c r="F756" s="424"/>
      <c r="G756" s="424"/>
      <c r="H756" s="424"/>
      <c r="I756" s="424"/>
      <c r="J756" s="424"/>
      <c r="K756" s="35"/>
      <c r="L756" s="35"/>
      <c r="M756" s="35"/>
      <c r="N756" s="35">
        <f t="shared" si="32"/>
        <v>0</v>
      </c>
      <c r="O756" s="35">
        <f t="shared" si="33"/>
        <v>0</v>
      </c>
      <c r="P756" s="81"/>
    </row>
    <row r="757" spans="1:16" ht="12.75">
      <c r="A757" s="436"/>
      <c r="B757" s="436" t="s">
        <v>445</v>
      </c>
      <c r="C757" s="101">
        <f>E757+F757+H757+I757</f>
        <v>0</v>
      </c>
      <c r="D757" s="35">
        <f t="shared" si="36"/>
        <v>0</v>
      </c>
      <c r="E757" s="424"/>
      <c r="F757" s="424"/>
      <c r="G757" s="424"/>
      <c r="H757" s="424"/>
      <c r="I757" s="424"/>
      <c r="J757" s="424"/>
      <c r="K757" s="35"/>
      <c r="L757" s="35"/>
      <c r="M757" s="35"/>
      <c r="N757" s="35">
        <f t="shared" si="32"/>
        <v>0</v>
      </c>
      <c r="O757" s="35">
        <f t="shared" si="33"/>
        <v>0</v>
      </c>
      <c r="P757" s="81"/>
    </row>
    <row r="758" spans="1:16" ht="12.75">
      <c r="A758" s="436"/>
      <c r="B758" s="436" t="s">
        <v>447</v>
      </c>
      <c r="C758" s="101">
        <v>2900000</v>
      </c>
      <c r="D758" s="35">
        <f t="shared" si="36"/>
        <v>0</v>
      </c>
      <c r="E758" s="424"/>
      <c r="F758" s="424"/>
      <c r="G758" s="424"/>
      <c r="H758" s="424"/>
      <c r="I758" s="424"/>
      <c r="J758" s="424"/>
      <c r="K758" s="35"/>
      <c r="L758" s="35"/>
      <c r="M758" s="35"/>
      <c r="N758" s="35">
        <f t="shared" si="32"/>
        <v>0</v>
      </c>
      <c r="O758" s="35">
        <f t="shared" si="33"/>
        <v>0</v>
      </c>
      <c r="P758" s="81"/>
    </row>
    <row r="759" spans="1:16" ht="12.75">
      <c r="A759" s="436"/>
      <c r="B759" s="34" t="s">
        <v>452</v>
      </c>
      <c r="C759" s="101">
        <v>4302000</v>
      </c>
      <c r="D759" s="35">
        <f t="shared" si="36"/>
        <v>0</v>
      </c>
      <c r="E759" s="424"/>
      <c r="F759" s="424"/>
      <c r="G759" s="424"/>
      <c r="H759" s="424"/>
      <c r="I759" s="424"/>
      <c r="J759" s="424"/>
      <c r="K759" s="35"/>
      <c r="L759" s="35"/>
      <c r="M759" s="35"/>
      <c r="N759" s="35">
        <f aca="true" t="shared" si="37" ref="N759:N770">L759-I759</f>
        <v>0</v>
      </c>
      <c r="O759" s="35">
        <f aca="true" t="shared" si="38" ref="O759:O770">M759-D759</f>
        <v>0</v>
      </c>
      <c r="P759" s="81"/>
    </row>
    <row r="760" spans="1:16" ht="33.75">
      <c r="A760" s="436"/>
      <c r="B760" s="474" t="s">
        <v>652</v>
      </c>
      <c r="C760" s="101">
        <v>1040000</v>
      </c>
      <c r="D760" s="35">
        <f t="shared" si="36"/>
        <v>600000</v>
      </c>
      <c r="E760" s="424"/>
      <c r="F760" s="424"/>
      <c r="G760" s="424"/>
      <c r="H760" s="424"/>
      <c r="I760" s="424">
        <v>600000</v>
      </c>
      <c r="J760" s="424">
        <v>573554.34</v>
      </c>
      <c r="K760" s="35"/>
      <c r="L760" s="35"/>
      <c r="M760" s="35"/>
      <c r="N760" s="35">
        <f t="shared" si="37"/>
        <v>-600000</v>
      </c>
      <c r="O760" s="35">
        <f t="shared" si="38"/>
        <v>-600000</v>
      </c>
      <c r="P760" s="81"/>
    </row>
    <row r="761" spans="1:16" ht="12.75">
      <c r="A761" s="438">
        <v>5120</v>
      </c>
      <c r="B761" s="438" t="s">
        <v>433</v>
      </c>
      <c r="C761" s="431">
        <v>25615000</v>
      </c>
      <c r="D761" s="37">
        <f>D762+D763+D764+D765+D766+D767+D768+D769</f>
        <v>11936340</v>
      </c>
      <c r="E761" s="37">
        <f aca="true" t="shared" si="39" ref="E761:J761">E762+E763+E764+E765+E766+E767+E768+E769</f>
        <v>3420000</v>
      </c>
      <c r="F761" s="37">
        <f t="shared" si="39"/>
        <v>0</v>
      </c>
      <c r="G761" s="37">
        <f t="shared" si="39"/>
        <v>0</v>
      </c>
      <c r="H761" s="37">
        <f t="shared" si="39"/>
        <v>800000</v>
      </c>
      <c r="I761" s="37">
        <f>I762+I763+I764+I765+I766+I767+I768+I769</f>
        <v>7716340</v>
      </c>
      <c r="J761" s="37">
        <f t="shared" si="39"/>
        <v>6924694.04</v>
      </c>
      <c r="K761" s="35"/>
      <c r="L761" s="35"/>
      <c r="M761" s="35"/>
      <c r="N761" s="35">
        <f t="shared" si="37"/>
        <v>-7716340</v>
      </c>
      <c r="O761" s="35">
        <f t="shared" si="38"/>
        <v>-11936340</v>
      </c>
      <c r="P761" s="81"/>
    </row>
    <row r="762" spans="1:16" ht="12.75">
      <c r="A762" s="436"/>
      <c r="B762" s="436" t="s">
        <v>434</v>
      </c>
      <c r="C762" s="551">
        <v>3120000</v>
      </c>
      <c r="D762" s="35">
        <f t="shared" si="36"/>
        <v>3120000</v>
      </c>
      <c r="E762" s="424">
        <v>2820000</v>
      </c>
      <c r="F762" s="424"/>
      <c r="G762" s="424"/>
      <c r="H762" s="424"/>
      <c r="I762" s="552">
        <v>300000</v>
      </c>
      <c r="J762" s="424">
        <v>292890</v>
      </c>
      <c r="K762" s="35" t="s">
        <v>615</v>
      </c>
      <c r="L762" s="35"/>
      <c r="M762" s="35"/>
      <c r="N762" s="35">
        <f t="shared" si="37"/>
        <v>-300000</v>
      </c>
      <c r="O762" s="35">
        <f t="shared" si="38"/>
        <v>-3120000</v>
      </c>
      <c r="P762" s="81"/>
    </row>
    <row r="763" spans="1:16" ht="12.75">
      <c r="A763" s="436"/>
      <c r="B763" s="436" t="s">
        <v>436</v>
      </c>
      <c r="C763" s="551">
        <v>3755000</v>
      </c>
      <c r="D763" s="35">
        <v>1255000</v>
      </c>
      <c r="E763" s="424"/>
      <c r="F763" s="424"/>
      <c r="G763" s="424"/>
      <c r="H763" s="424"/>
      <c r="I763" s="552">
        <v>1255000</v>
      </c>
      <c r="J763" s="424">
        <v>1254000</v>
      </c>
      <c r="K763" s="35" t="s">
        <v>614</v>
      </c>
      <c r="L763" s="35"/>
      <c r="M763" s="35"/>
      <c r="N763" s="35">
        <v>-1255000</v>
      </c>
      <c r="O763" s="35">
        <v>-1255000</v>
      </c>
      <c r="P763" s="81"/>
    </row>
    <row r="764" spans="1:16" ht="12.75">
      <c r="A764" s="436"/>
      <c r="B764" s="436" t="s">
        <v>435</v>
      </c>
      <c r="C764" s="551">
        <v>8170000</v>
      </c>
      <c r="D764" s="35">
        <f t="shared" si="36"/>
        <v>210000</v>
      </c>
      <c r="E764" s="424"/>
      <c r="F764" s="424"/>
      <c r="G764" s="424"/>
      <c r="H764" s="424">
        <v>210000</v>
      </c>
      <c r="I764" s="552"/>
      <c r="J764" s="552">
        <v>31680</v>
      </c>
      <c r="K764" s="557"/>
      <c r="L764" s="557"/>
      <c r="M764" s="35"/>
      <c r="N764" s="35">
        <f t="shared" si="37"/>
        <v>0</v>
      </c>
      <c r="O764" s="35">
        <f t="shared" si="38"/>
        <v>-210000</v>
      </c>
      <c r="P764" s="81"/>
    </row>
    <row r="765" spans="1:16" ht="12.75">
      <c r="A765" s="436"/>
      <c r="B765" s="563" t="s">
        <v>627</v>
      </c>
      <c r="C765" s="551"/>
      <c r="D765" s="557">
        <f t="shared" si="36"/>
        <v>2140340</v>
      </c>
      <c r="E765" s="552"/>
      <c r="F765" s="552"/>
      <c r="G765" s="552"/>
      <c r="H765" s="552"/>
      <c r="I765" s="552">
        <f>1307980+232360+600000</f>
        <v>2140340</v>
      </c>
      <c r="J765" s="552">
        <v>1075620</v>
      </c>
      <c r="K765" s="557"/>
      <c r="L765" s="557"/>
      <c r="M765" s="557"/>
      <c r="N765" s="557"/>
      <c r="O765" s="557"/>
      <c r="P765" s="81"/>
    </row>
    <row r="766" spans="1:16" ht="12.75">
      <c r="A766" s="436"/>
      <c r="B766" s="34" t="s">
        <v>654</v>
      </c>
      <c r="C766" s="551"/>
      <c r="D766" s="35">
        <f t="shared" si="36"/>
        <v>861000</v>
      </c>
      <c r="E766" s="424">
        <v>600000</v>
      </c>
      <c r="F766" s="424"/>
      <c r="G766" s="424"/>
      <c r="H766" s="424"/>
      <c r="I766" s="552">
        <v>261000</v>
      </c>
      <c r="J766" s="424"/>
      <c r="K766" s="35"/>
      <c r="L766" s="35"/>
      <c r="M766" s="35"/>
      <c r="N766" s="35"/>
      <c r="O766" s="35"/>
      <c r="P766" s="81"/>
    </row>
    <row r="767" spans="1:16" ht="12.75">
      <c r="A767" s="436"/>
      <c r="B767" s="34" t="s">
        <v>653</v>
      </c>
      <c r="C767" s="551"/>
      <c r="D767" s="35">
        <f t="shared" si="36"/>
        <v>425000</v>
      </c>
      <c r="E767" s="424"/>
      <c r="F767" s="424"/>
      <c r="G767" s="424"/>
      <c r="H767" s="424">
        <v>425000</v>
      </c>
      <c r="I767" s="552"/>
      <c r="J767" s="424"/>
      <c r="K767" s="35"/>
      <c r="L767" s="35"/>
      <c r="M767" s="35"/>
      <c r="N767" s="35"/>
      <c r="O767" s="35"/>
      <c r="P767" s="81"/>
    </row>
    <row r="768" spans="1:16" ht="12.75">
      <c r="A768" s="436"/>
      <c r="B768" s="436" t="s">
        <v>446</v>
      </c>
      <c r="C768" s="551">
        <v>7400000</v>
      </c>
      <c r="D768" s="35">
        <f t="shared" si="36"/>
        <v>3500000</v>
      </c>
      <c r="E768" s="424"/>
      <c r="F768" s="424"/>
      <c r="G768" s="424"/>
      <c r="H768" s="424"/>
      <c r="I768" s="552">
        <v>3500000</v>
      </c>
      <c r="J768" s="424">
        <v>4270504.04</v>
      </c>
      <c r="K768" s="35"/>
      <c r="L768" s="35"/>
      <c r="M768" s="35"/>
      <c r="N768" s="35">
        <f t="shared" si="37"/>
        <v>-3500000</v>
      </c>
      <c r="O768" s="35">
        <f t="shared" si="38"/>
        <v>-3500000</v>
      </c>
      <c r="P768" s="81"/>
    </row>
    <row r="769" spans="1:16" ht="12.75">
      <c r="A769" s="436"/>
      <c r="B769" s="34" t="s">
        <v>453</v>
      </c>
      <c r="C769" s="551">
        <v>3170000</v>
      </c>
      <c r="D769" s="35">
        <f t="shared" si="36"/>
        <v>425000</v>
      </c>
      <c r="E769" s="424"/>
      <c r="F769" s="424"/>
      <c r="G769" s="424"/>
      <c r="H769" s="424">
        <v>165000</v>
      </c>
      <c r="I769" s="552">
        <v>260000</v>
      </c>
      <c r="J769" s="424"/>
      <c r="K769" s="35"/>
      <c r="L769" s="35"/>
      <c r="M769" s="35"/>
      <c r="N769" s="35">
        <f t="shared" si="37"/>
        <v>-260000</v>
      </c>
      <c r="O769" s="35">
        <f t="shared" si="38"/>
        <v>-425000</v>
      </c>
      <c r="P769" s="81"/>
    </row>
    <row r="770" spans="1:16" ht="12.75">
      <c r="A770" s="436"/>
      <c r="B770" s="452" t="s">
        <v>357</v>
      </c>
      <c r="C770" s="130">
        <v>40233350</v>
      </c>
      <c r="D770" s="37">
        <f>D752+D761</f>
        <v>15236340</v>
      </c>
      <c r="E770" s="130">
        <f>E752+E761</f>
        <v>4920000</v>
      </c>
      <c r="F770" s="475">
        <f>F752+F761</f>
        <v>0</v>
      </c>
      <c r="G770" s="475"/>
      <c r="H770" s="130">
        <f>H752+H761</f>
        <v>2000000</v>
      </c>
      <c r="I770" s="130">
        <f>I752+I761</f>
        <v>8316340</v>
      </c>
      <c r="J770" s="130">
        <f>J752+J761</f>
        <v>7498248.38</v>
      </c>
      <c r="K770" s="35"/>
      <c r="L770" s="35"/>
      <c r="M770" s="35"/>
      <c r="N770" s="35">
        <f t="shared" si="37"/>
        <v>-8316340</v>
      </c>
      <c r="O770" s="35">
        <f t="shared" si="38"/>
        <v>-15236340</v>
      </c>
      <c r="P770" s="81"/>
    </row>
    <row r="771" spans="3:13" ht="12.75">
      <c r="C771" s="479"/>
      <c r="D771" s="479"/>
      <c r="H771" s="27"/>
      <c r="I771" s="479"/>
      <c r="J771" s="27"/>
      <c r="K771" s="27"/>
      <c r="L771" s="27"/>
      <c r="M771" s="27"/>
    </row>
    <row r="772" spans="4:10" ht="12.75">
      <c r="D772" s="479"/>
      <c r="H772" s="27"/>
      <c r="I772" s="27"/>
      <c r="J772" s="27"/>
    </row>
    <row r="773" spans="2:10" ht="12.75">
      <c r="B773" s="584" t="s">
        <v>454</v>
      </c>
      <c r="C773" s="584">
        <f>C770+C741</f>
        <v>634993350</v>
      </c>
      <c r="D773" s="584">
        <f>D770+D741</f>
        <v>622676340</v>
      </c>
      <c r="E773" s="584">
        <f>E770+E741</f>
        <v>11420000</v>
      </c>
      <c r="F773" s="584">
        <f>F770+F741</f>
        <v>547076849.02</v>
      </c>
      <c r="G773" s="584"/>
      <c r="H773" s="584">
        <f>H770+H741</f>
        <v>2000000</v>
      </c>
      <c r="I773" s="584">
        <f>I770+I741</f>
        <v>62179490.98000002</v>
      </c>
      <c r="J773" s="605"/>
    </row>
    <row r="774" spans="2:10" ht="12.75">
      <c r="B774" s="677" t="s">
        <v>656</v>
      </c>
      <c r="C774" s="678">
        <v>634993350</v>
      </c>
      <c r="D774" s="678">
        <v>624343999.02</v>
      </c>
      <c r="E774" s="678">
        <v>13015150</v>
      </c>
      <c r="F774" s="678">
        <v>547076849.02</v>
      </c>
      <c r="G774" s="678">
        <v>0</v>
      </c>
      <c r="H774" s="678">
        <v>2000000</v>
      </c>
      <c r="I774" s="678">
        <v>62252000</v>
      </c>
      <c r="J774" s="680">
        <f>SUM(E774:I774)</f>
        <v>624343999.02</v>
      </c>
    </row>
    <row r="775" spans="2:10" ht="12.75">
      <c r="B775" s="547" t="s">
        <v>609</v>
      </c>
      <c r="C775" s="549">
        <f>C774-C773</f>
        <v>0</v>
      </c>
      <c r="D775" s="549">
        <f aca="true" t="shared" si="40" ref="D775:I775">D774-D773</f>
        <v>1667659.019999981</v>
      </c>
      <c r="E775" s="549">
        <f t="shared" si="40"/>
        <v>1595150</v>
      </c>
      <c r="F775" s="549">
        <f t="shared" si="40"/>
        <v>0</v>
      </c>
      <c r="G775" s="549">
        <f t="shared" si="40"/>
        <v>0</v>
      </c>
      <c r="H775" s="549">
        <f t="shared" si="40"/>
        <v>0</v>
      </c>
      <c r="I775" s="549">
        <f t="shared" si="40"/>
        <v>72509.01999998093</v>
      </c>
      <c r="J775" s="679"/>
    </row>
    <row r="776" spans="2:10" ht="12.75">
      <c r="B776" s="569"/>
      <c r="C776" s="675"/>
      <c r="D776" s="675"/>
      <c r="E776" s="675"/>
      <c r="F776" s="675"/>
      <c r="G776" s="675"/>
      <c r="H776" s="675"/>
      <c r="I776" s="675"/>
      <c r="J776" s="679"/>
    </row>
    <row r="777" spans="2:10" ht="12.75">
      <c r="B777" s="569"/>
      <c r="C777" s="675"/>
      <c r="D777" s="675"/>
      <c r="E777" s="675"/>
      <c r="F777" s="675"/>
      <c r="G777" s="675"/>
      <c r="H777" s="675"/>
      <c r="I777" s="675"/>
      <c r="J777" s="679"/>
    </row>
    <row r="778" spans="2:10" ht="12.75">
      <c r="B778" s="569"/>
      <c r="C778" s="675"/>
      <c r="D778" s="675"/>
      <c r="E778" s="675"/>
      <c r="F778" s="675"/>
      <c r="G778" s="675"/>
      <c r="H778" s="675"/>
      <c r="I778" s="675"/>
      <c r="J778" s="679"/>
    </row>
    <row r="779" spans="2:10" ht="12.75">
      <c r="B779" s="569"/>
      <c r="C779" s="675"/>
      <c r="D779" s="675"/>
      <c r="E779" s="675"/>
      <c r="F779" s="675"/>
      <c r="G779" s="675"/>
      <c r="H779" s="675"/>
      <c r="I779" s="675"/>
      <c r="J779" s="679"/>
    </row>
    <row r="780" spans="2:10" ht="12.75">
      <c r="B780" s="569"/>
      <c r="C780" s="675"/>
      <c r="D780" s="675"/>
      <c r="E780" s="675"/>
      <c r="F780" s="675"/>
      <c r="G780" s="675"/>
      <c r="H780" s="675"/>
      <c r="I780" s="675"/>
      <c r="J780" s="679"/>
    </row>
    <row r="781" spans="2:10" ht="12.75">
      <c r="B781" s="569"/>
      <c r="C781" s="675"/>
      <c r="D781" s="675"/>
      <c r="E781" s="675"/>
      <c r="F781" s="675"/>
      <c r="G781" s="675"/>
      <c r="H781" s="675"/>
      <c r="I781" s="675"/>
      <c r="J781" s="679"/>
    </row>
    <row r="782" spans="2:10" ht="12.75">
      <c r="B782" s="569"/>
      <c r="C782" s="675"/>
      <c r="D782" s="675"/>
      <c r="E782" s="675"/>
      <c r="F782" s="675"/>
      <c r="G782" s="675"/>
      <c r="H782" s="675"/>
      <c r="I782" s="675"/>
      <c r="J782" s="679"/>
    </row>
    <row r="783" spans="4:10" ht="13.5" thickBot="1">
      <c r="D783" s="9"/>
      <c r="E783" s="9"/>
      <c r="H783" s="27"/>
      <c r="I783" s="27"/>
      <c r="J783" s="27"/>
    </row>
    <row r="784" spans="1:10" ht="13.5" thickBot="1">
      <c r="A784" s="505" t="s">
        <v>644</v>
      </c>
      <c r="B784" s="590" t="s">
        <v>373</v>
      </c>
      <c r="C784" s="591">
        <v>642248999.02</v>
      </c>
      <c r="D784" s="591">
        <v>638026772</v>
      </c>
      <c r="E784" s="591">
        <v>12413150</v>
      </c>
      <c r="F784" s="591">
        <v>550583849.02</v>
      </c>
      <c r="G784" s="591"/>
      <c r="H784" s="663">
        <v>2000000</v>
      </c>
      <c r="I784" s="664">
        <v>77252000</v>
      </c>
      <c r="J784" s="665"/>
    </row>
    <row r="785" spans="2:10" ht="12.75">
      <c r="B785" s="505" t="s">
        <v>609</v>
      </c>
      <c r="C785" s="9">
        <f>C773-C784</f>
        <v>-7255649.019999981</v>
      </c>
      <c r="D785" s="9">
        <f>D773-D784</f>
        <v>-15350432</v>
      </c>
      <c r="E785" s="9">
        <f>E773-E784</f>
        <v>-993150</v>
      </c>
      <c r="F785" s="9"/>
      <c r="G785" s="9"/>
      <c r="H785" s="81">
        <f>H773-H784</f>
        <v>0</v>
      </c>
      <c r="I785" s="35">
        <f>I784-I773</f>
        <v>15072509.01999998</v>
      </c>
      <c r="J785" s="51"/>
    </row>
    <row r="786" spans="3:10" ht="13.5" thickBot="1">
      <c r="C786" s="9"/>
      <c r="H786" s="27"/>
      <c r="I786" s="81"/>
      <c r="J786" s="81"/>
    </row>
    <row r="787" spans="1:10" ht="12.75">
      <c r="A787" s="505" t="s">
        <v>639</v>
      </c>
      <c r="B787" s="600" t="s">
        <v>645</v>
      </c>
      <c r="C787" s="601"/>
      <c r="D787" s="601"/>
      <c r="E787" s="601"/>
      <c r="F787" s="602"/>
      <c r="G787" s="602"/>
      <c r="H787" s="666"/>
      <c r="I787" s="667">
        <f>I676</f>
        <v>62252000</v>
      </c>
      <c r="J787" s="668"/>
    </row>
    <row r="788" spans="2:10" ht="12.75">
      <c r="B788" s="600" t="s">
        <v>609</v>
      </c>
      <c r="C788" s="601"/>
      <c r="D788" s="601"/>
      <c r="E788" s="601"/>
      <c r="F788" s="629">
        <f>F784-1700000</f>
        <v>548883849.02</v>
      </c>
      <c r="G788" s="635"/>
      <c r="H788" s="666"/>
      <c r="I788" s="669">
        <f>I787-I773</f>
        <v>72509.01999998093</v>
      </c>
      <c r="J788" s="668"/>
    </row>
    <row r="789" spans="2:10" ht="12.75">
      <c r="B789" s="601"/>
      <c r="C789" s="601"/>
      <c r="D789" s="601"/>
      <c r="E789" s="601"/>
      <c r="F789" s="601"/>
      <c r="G789" s="601"/>
      <c r="H789" s="666"/>
      <c r="I789" s="670"/>
      <c r="J789" s="670"/>
    </row>
    <row r="790" spans="8:10" ht="13.5" thickBot="1">
      <c r="H790" s="27"/>
      <c r="I790" s="81"/>
      <c r="J790" s="81"/>
    </row>
    <row r="791" spans="2:10" ht="13.5" thickBot="1">
      <c r="B791" s="608" t="s">
        <v>616</v>
      </c>
      <c r="C791" s="17"/>
      <c r="D791" s="17"/>
      <c r="E791" s="17"/>
      <c r="F791" s="17"/>
      <c r="G791" s="17"/>
      <c r="H791" s="671"/>
      <c r="I791" s="672">
        <f>I676-I774</f>
        <v>0</v>
      </c>
      <c r="J791" s="51"/>
    </row>
    <row r="792" ht="12.75">
      <c r="B792" s="2" t="s">
        <v>621</v>
      </c>
    </row>
    <row r="793" ht="12.75">
      <c r="B793" t="s">
        <v>622</v>
      </c>
    </row>
    <row r="794" spans="1:10" ht="12.75">
      <c r="A794" s="505" t="s">
        <v>640</v>
      </c>
      <c r="B794" s="626" t="s">
        <v>641</v>
      </c>
      <c r="C794" s="626"/>
      <c r="D794" s="626"/>
      <c r="E794" s="626"/>
      <c r="F794" s="626"/>
      <c r="G794" s="626"/>
      <c r="H794" s="626"/>
      <c r="I794" s="627">
        <f>I787-4000000</f>
        <v>58252000</v>
      </c>
      <c r="J794" s="627"/>
    </row>
    <row r="795" spans="2:10" ht="12.75">
      <c r="B795" s="626" t="s">
        <v>642</v>
      </c>
      <c r="C795" s="626"/>
      <c r="D795" s="626"/>
      <c r="E795" s="626"/>
      <c r="F795" s="626"/>
      <c r="G795" s="626"/>
      <c r="H795" s="626"/>
      <c r="I795" s="628">
        <f>I741+I770</f>
        <v>62179490.98000002</v>
      </c>
      <c r="J795" s="628"/>
    </row>
    <row r="796" spans="2:11" ht="12.75">
      <c r="B796" s="630" t="s">
        <v>643</v>
      </c>
      <c r="C796" s="630"/>
      <c r="D796" s="630"/>
      <c r="E796" s="630"/>
      <c r="F796" s="630"/>
      <c r="G796" s="630"/>
      <c r="H796" s="630"/>
      <c r="I796" s="631">
        <f>I794-I795</f>
        <v>-3927490.980000019</v>
      </c>
      <c r="J796" s="660"/>
      <c r="K796" s="505" t="s">
        <v>647</v>
      </c>
    </row>
    <row r="797" spans="2:10" ht="12.75">
      <c r="B797" s="27"/>
      <c r="C797" s="27"/>
      <c r="D797" s="27"/>
      <c r="E797" s="27"/>
      <c r="F797" s="27"/>
      <c r="G797" s="27"/>
      <c r="H797" s="27" t="s">
        <v>646</v>
      </c>
      <c r="I797" s="479"/>
      <c r="J797" s="479"/>
    </row>
    <row r="798" spans="2:10" ht="12.75">
      <c r="B798" s="1" t="s">
        <v>632</v>
      </c>
      <c r="C798" s="1"/>
      <c r="D798" s="1"/>
      <c r="E798" s="1"/>
      <c r="F798" s="625">
        <v>7734000</v>
      </c>
      <c r="G798" s="625"/>
      <c r="H798" s="1">
        <v>1700000</v>
      </c>
      <c r="I798" s="625">
        <f>F798-H798</f>
        <v>6034000</v>
      </c>
      <c r="J798" s="19"/>
    </row>
    <row r="799" spans="2:10" ht="12.75">
      <c r="B799" s="1" t="s">
        <v>631</v>
      </c>
      <c r="C799" s="1"/>
      <c r="D799" s="1"/>
      <c r="E799" s="1"/>
      <c r="F799" s="625">
        <v>670000</v>
      </c>
      <c r="G799" s="625"/>
      <c r="H799" s="1"/>
      <c r="I799" s="1">
        <v>670000</v>
      </c>
      <c r="J799" s="18"/>
    </row>
    <row r="800" spans="2:10" ht="12.75">
      <c r="B800" s="504" t="s">
        <v>633</v>
      </c>
      <c r="C800" s="1"/>
      <c r="D800" s="1"/>
      <c r="E800" s="1"/>
      <c r="F800" s="625">
        <f>F798-F799</f>
        <v>7064000</v>
      </c>
      <c r="G800" s="625"/>
      <c r="H800" s="1"/>
      <c r="I800" s="625">
        <f>I798-I799</f>
        <v>5364000</v>
      </c>
      <c r="J800" s="19"/>
    </row>
    <row r="801" spans="2:10" ht="12.75">
      <c r="B801" s="504" t="s">
        <v>634</v>
      </c>
      <c r="C801" s="1"/>
      <c r="D801" s="1"/>
      <c r="E801" s="1"/>
      <c r="F801" s="625">
        <f>4700000-135600</f>
        <v>4564400</v>
      </c>
      <c r="G801" s="625"/>
      <c r="H801" s="504" t="s">
        <v>638</v>
      </c>
      <c r="I801" s="625">
        <f>F801-1700000</f>
        <v>2864400</v>
      </c>
      <c r="J801" s="19"/>
    </row>
    <row r="802" spans="2:10" ht="12.75">
      <c r="B802" s="504" t="s">
        <v>635</v>
      </c>
      <c r="C802" s="1"/>
      <c r="D802" s="1"/>
      <c r="E802" s="1"/>
      <c r="F802" s="625">
        <f>883000*1.2</f>
        <v>1059600</v>
      </c>
      <c r="G802" s="625"/>
      <c r="H802" s="1"/>
      <c r="I802" s="1">
        <v>1059600</v>
      </c>
      <c r="J802" s="18"/>
    </row>
    <row r="803" spans="2:10" ht="12.75">
      <c r="B803" s="504" t="s">
        <v>636</v>
      </c>
      <c r="C803" s="1"/>
      <c r="D803" s="1"/>
      <c r="E803" s="1"/>
      <c r="F803" s="625">
        <v>1300000</v>
      </c>
      <c r="G803" s="625"/>
      <c r="H803" s="1"/>
      <c r="I803" s="1">
        <v>1300000</v>
      </c>
      <c r="J803" s="18"/>
    </row>
    <row r="804" spans="2:10" ht="12.75">
      <c r="B804" s="504" t="s">
        <v>637</v>
      </c>
      <c r="C804" s="1"/>
      <c r="D804" s="1"/>
      <c r="E804" s="1"/>
      <c r="F804" s="625">
        <v>140000</v>
      </c>
      <c r="G804" s="625"/>
      <c r="H804" s="1"/>
      <c r="I804" s="1">
        <v>140000</v>
      </c>
      <c r="J804" s="18"/>
    </row>
    <row r="805" spans="2:10" ht="12.75">
      <c r="B805" s="504" t="s">
        <v>2</v>
      </c>
      <c r="C805" s="1"/>
      <c r="D805" s="1"/>
      <c r="E805" s="1"/>
      <c r="F805" s="625">
        <f>SUM(F801:F804)</f>
        <v>7064000</v>
      </c>
      <c r="G805" s="625"/>
      <c r="H805" s="1"/>
      <c r="I805" s="625">
        <f>SUM(I801:I804)</f>
        <v>5364000</v>
      </c>
      <c r="J805" s="19"/>
    </row>
    <row r="807" spans="6:7" ht="12.75">
      <c r="F807" s="9"/>
      <c r="G807" s="9"/>
    </row>
    <row r="809" spans="2:10" ht="12.75">
      <c r="B809" s="452" t="s">
        <v>648</v>
      </c>
      <c r="C809" s="452"/>
      <c r="D809" s="452"/>
      <c r="E809" s="452"/>
      <c r="F809" s="452"/>
      <c r="G809" s="452"/>
      <c r="H809" s="452"/>
      <c r="I809" s="632">
        <f>I765+I731+I720+I707+I692+I689+I686+I695</f>
        <v>10731490.98</v>
      </c>
      <c r="J809" s="458"/>
    </row>
    <row r="811" spans="5:9" ht="12.75">
      <c r="E811" s="698"/>
      <c r="F811" s="698"/>
      <c r="G811" s="698"/>
      <c r="H811" s="698"/>
      <c r="I811" s="698" t="s">
        <v>672</v>
      </c>
    </row>
    <row r="812" spans="5:8" ht="12.75">
      <c r="E812" s="699" t="s">
        <v>664</v>
      </c>
      <c r="F812" s="700"/>
      <c r="G812" s="700"/>
      <c r="H812" s="698"/>
    </row>
    <row r="813" spans="1:9" ht="12.75">
      <c r="A813" s="223" t="s">
        <v>561</v>
      </c>
      <c r="B813" s="223"/>
      <c r="C813" s="389"/>
      <c r="D813" s="389"/>
      <c r="H813" s="120"/>
      <c r="I813" s="11"/>
    </row>
    <row r="814" spans="1:9" ht="12.75">
      <c r="A814" s="148" t="s">
        <v>407</v>
      </c>
      <c r="B814" s="148"/>
      <c r="C814" s="148"/>
      <c r="D814" s="149"/>
      <c r="E814" s="149"/>
      <c r="F814" s="149"/>
      <c r="G814" s="149"/>
      <c r="I814" s="149" t="s">
        <v>220</v>
      </c>
    </row>
    <row r="815" spans="1:11" ht="45">
      <c r="A815" s="435" t="s">
        <v>399</v>
      </c>
      <c r="B815" s="435" t="s">
        <v>400</v>
      </c>
      <c r="C815" s="167" t="s">
        <v>401</v>
      </c>
      <c r="D815" s="123" t="s">
        <v>580</v>
      </c>
      <c r="E815" s="167" t="s">
        <v>402</v>
      </c>
      <c r="F815" s="167" t="s">
        <v>403</v>
      </c>
      <c r="G815" s="167"/>
      <c r="H815" s="438" t="s">
        <v>397</v>
      </c>
      <c r="I815" s="439" t="s">
        <v>404</v>
      </c>
      <c r="J815" s="179" t="s">
        <v>671</v>
      </c>
      <c r="K815" s="179" t="s">
        <v>670</v>
      </c>
    </row>
    <row r="816" spans="1:11" ht="12.75">
      <c r="A816" s="428">
        <v>7330</v>
      </c>
      <c r="B816" s="427" t="s">
        <v>396</v>
      </c>
      <c r="C816" s="440">
        <f>E816+F816+H816+I816+10302000</f>
        <v>13978350</v>
      </c>
      <c r="D816" s="37">
        <f>13978350-10302000</f>
        <v>3676350</v>
      </c>
      <c r="E816" s="426">
        <v>3676350</v>
      </c>
      <c r="F816" s="426"/>
      <c r="G816" s="426"/>
      <c r="H816" s="437"/>
      <c r="I816" s="437"/>
      <c r="J816" s="35">
        <f>D816*100/C816</f>
        <v>26.300314414791444</v>
      </c>
      <c r="K816" s="35">
        <f>D816*100/641292999.02</f>
        <v>0.5732715007988642</v>
      </c>
    </row>
    <row r="817" spans="1:11" ht="12.75">
      <c r="A817" s="428">
        <v>7400</v>
      </c>
      <c r="B817" s="427" t="s">
        <v>397</v>
      </c>
      <c r="C817" s="440">
        <f>E817+F817+H817+I817</f>
        <v>2000000</v>
      </c>
      <c r="D817" s="37">
        <v>2000000</v>
      </c>
      <c r="E817" s="426"/>
      <c r="F817" s="426"/>
      <c r="G817" s="426"/>
      <c r="H817" s="441">
        <v>2000000</v>
      </c>
      <c r="I817" s="437"/>
      <c r="J817" s="35">
        <f aca="true" t="shared" si="41" ref="J817:J862">D817*100/C817</f>
        <v>100</v>
      </c>
      <c r="K817" s="35">
        <f aca="true" t="shared" si="42" ref="K817:K862">D817*100/641292999.02</f>
        <v>0.31186992576814737</v>
      </c>
    </row>
    <row r="818" spans="1:11" ht="12.75">
      <c r="A818" s="428">
        <v>7410</v>
      </c>
      <c r="B818" s="427" t="s">
        <v>405</v>
      </c>
      <c r="C818" s="440">
        <f>E818+F818+H818+I818</f>
        <v>700000</v>
      </c>
      <c r="D818" s="37">
        <v>700000</v>
      </c>
      <c r="E818" s="426"/>
      <c r="F818" s="426"/>
      <c r="G818" s="426"/>
      <c r="H818" s="441"/>
      <c r="I818" s="442">
        <v>700000</v>
      </c>
      <c r="J818" s="35">
        <f t="shared" si="41"/>
        <v>100</v>
      </c>
      <c r="K818" s="35">
        <f t="shared" si="42"/>
        <v>0.10915447401885157</v>
      </c>
    </row>
    <row r="819" spans="1:11" ht="12.75">
      <c r="A819" s="158">
        <v>74212101</v>
      </c>
      <c r="B819" s="158" t="s">
        <v>140</v>
      </c>
      <c r="C819" s="443">
        <v>1760000</v>
      </c>
      <c r="D819" s="35"/>
      <c r="E819" s="101"/>
      <c r="F819" s="101"/>
      <c r="G819" s="101"/>
      <c r="H819" s="437"/>
      <c r="I819" s="159"/>
      <c r="J819" s="35">
        <f t="shared" si="41"/>
        <v>0</v>
      </c>
      <c r="K819" s="35">
        <f t="shared" si="42"/>
        <v>0</v>
      </c>
    </row>
    <row r="820" spans="1:11" ht="12.75">
      <c r="A820" s="99">
        <v>74212102</v>
      </c>
      <c r="B820" s="99" t="s">
        <v>142</v>
      </c>
      <c r="C820" s="443">
        <v>14400000</v>
      </c>
      <c r="D820" s="35"/>
      <c r="E820" s="101"/>
      <c r="F820" s="101"/>
      <c r="G820" s="101"/>
      <c r="H820" s="437"/>
      <c r="I820" s="101"/>
      <c r="J820" s="35">
        <f t="shared" si="41"/>
        <v>0</v>
      </c>
      <c r="K820" s="35">
        <f t="shared" si="42"/>
        <v>0</v>
      </c>
    </row>
    <row r="821" spans="1:11" ht="12.75">
      <c r="A821" s="99">
        <v>74212111</v>
      </c>
      <c r="B821" s="99" t="s">
        <v>141</v>
      </c>
      <c r="C821" s="443">
        <v>500000</v>
      </c>
      <c r="D821" s="35"/>
      <c r="E821" s="101"/>
      <c r="F821" s="101"/>
      <c r="G821" s="101"/>
      <c r="H821" s="437"/>
      <c r="I821" s="101"/>
      <c r="J821" s="35">
        <f t="shared" si="41"/>
        <v>0</v>
      </c>
      <c r="K821" s="35">
        <f t="shared" si="42"/>
        <v>0</v>
      </c>
    </row>
    <row r="822" spans="1:11" ht="12.75">
      <c r="A822" s="99">
        <v>74212112</v>
      </c>
      <c r="B822" s="99" t="s">
        <v>143</v>
      </c>
      <c r="C822" s="443">
        <v>500000</v>
      </c>
      <c r="D822" s="35"/>
      <c r="E822" s="101"/>
      <c r="F822" s="101"/>
      <c r="G822" s="101"/>
      <c r="H822" s="437"/>
      <c r="I822" s="101"/>
      <c r="J822" s="35">
        <f t="shared" si="41"/>
        <v>0</v>
      </c>
      <c r="K822" s="35">
        <f t="shared" si="42"/>
        <v>0</v>
      </c>
    </row>
    <row r="823" spans="1:11" ht="12.75">
      <c r="A823" s="99"/>
      <c r="B823" s="99" t="s">
        <v>581</v>
      </c>
      <c r="C823" s="695">
        <f>C819+C820+C821+C822</f>
        <v>17160000</v>
      </c>
      <c r="D823" s="35">
        <f>15800000/10*12</f>
        <v>18960000</v>
      </c>
      <c r="E823" s="101"/>
      <c r="F823" s="101"/>
      <c r="G823" s="101"/>
      <c r="H823" s="84"/>
      <c r="I823" s="101">
        <v>18960000</v>
      </c>
      <c r="J823" s="35">
        <f t="shared" si="41"/>
        <v>110.4895104895105</v>
      </c>
      <c r="K823" s="35">
        <f t="shared" si="42"/>
        <v>2.9565268962820372</v>
      </c>
    </row>
    <row r="824" spans="1:11" ht="12.75">
      <c r="A824" s="99">
        <v>7421216</v>
      </c>
      <c r="B824" s="99" t="s">
        <v>145</v>
      </c>
      <c r="C824" s="443">
        <v>320000</v>
      </c>
      <c r="D824" s="35">
        <v>1350000</v>
      </c>
      <c r="E824" s="101"/>
      <c r="F824" s="101"/>
      <c r="G824" s="101"/>
      <c r="H824" s="437"/>
      <c r="I824" s="101">
        <v>1350000</v>
      </c>
      <c r="J824" s="35">
        <f t="shared" si="41"/>
        <v>421.875</v>
      </c>
      <c r="K824" s="35">
        <f t="shared" si="42"/>
        <v>0.21051219989349948</v>
      </c>
    </row>
    <row r="825" spans="1:11" ht="12.75">
      <c r="A825" s="99">
        <v>7421217</v>
      </c>
      <c r="B825" s="99" t="s">
        <v>146</v>
      </c>
      <c r="C825" s="443">
        <v>34732000</v>
      </c>
      <c r="D825" s="557">
        <f>E825+F825+G825+H825+I825</f>
        <v>20000000</v>
      </c>
      <c r="E825" s="551"/>
      <c r="F825" s="551"/>
      <c r="G825" s="551"/>
      <c r="H825" s="552"/>
      <c r="I825" s="551">
        <v>20000000</v>
      </c>
      <c r="J825" s="35">
        <f t="shared" si="41"/>
        <v>57.58378440631118</v>
      </c>
      <c r="K825" s="35">
        <f t="shared" si="42"/>
        <v>3.118699257681474</v>
      </c>
    </row>
    <row r="826" spans="1:11" ht="12.75">
      <c r="A826" s="99">
        <v>74212171</v>
      </c>
      <c r="B826" s="99" t="s">
        <v>147</v>
      </c>
      <c r="C826" s="443">
        <v>9240000</v>
      </c>
      <c r="D826" s="35">
        <v>7200000</v>
      </c>
      <c r="E826" s="101"/>
      <c r="F826" s="101"/>
      <c r="G826" s="101"/>
      <c r="H826" s="437"/>
      <c r="I826" s="135">
        <v>7200000</v>
      </c>
      <c r="J826" s="35">
        <f t="shared" si="41"/>
        <v>77.92207792207792</v>
      </c>
      <c r="K826" s="35">
        <f t="shared" si="42"/>
        <v>1.1227317327653306</v>
      </c>
    </row>
    <row r="827" spans="1:11" ht="12.75">
      <c r="A827" s="99">
        <v>742161</v>
      </c>
      <c r="B827" s="99" t="s">
        <v>148</v>
      </c>
      <c r="C827" s="443">
        <v>320000</v>
      </c>
      <c r="D827" s="35">
        <v>100000</v>
      </c>
      <c r="E827" s="101"/>
      <c r="F827" s="101"/>
      <c r="G827" s="101"/>
      <c r="H827" s="437"/>
      <c r="I827" s="101">
        <v>100000</v>
      </c>
      <c r="J827" s="35">
        <f t="shared" si="41"/>
        <v>31.25</v>
      </c>
      <c r="K827" s="35">
        <f t="shared" si="42"/>
        <v>0.01559349628840737</v>
      </c>
    </row>
    <row r="828" spans="1:11" ht="12.75">
      <c r="A828" s="137">
        <v>7421</v>
      </c>
      <c r="B828" s="137" t="s">
        <v>149</v>
      </c>
      <c r="C828" s="440">
        <v>61772000</v>
      </c>
      <c r="D828" s="37">
        <f>D823+D824+D825+D826+D827</f>
        <v>47610000</v>
      </c>
      <c r="E828" s="101"/>
      <c r="F828" s="106"/>
      <c r="G828" s="106"/>
      <c r="H828" s="437"/>
      <c r="I828" s="441">
        <f>SUM(I823:I827)</f>
        <v>47610000</v>
      </c>
      <c r="J828" s="35">
        <f t="shared" si="41"/>
        <v>77.07375509939779</v>
      </c>
      <c r="K828" s="35">
        <f t="shared" si="42"/>
        <v>7.424063582910748</v>
      </c>
    </row>
    <row r="829" spans="1:11" ht="12.75">
      <c r="A829" s="137">
        <v>7451</v>
      </c>
      <c r="B829" s="137" t="s">
        <v>151</v>
      </c>
      <c r="C829" s="440">
        <v>1200000</v>
      </c>
      <c r="D829" s="37">
        <v>400000</v>
      </c>
      <c r="E829" s="101"/>
      <c r="F829" s="106"/>
      <c r="G829" s="106"/>
      <c r="H829" s="437"/>
      <c r="I829" s="441">
        <v>400000</v>
      </c>
      <c r="J829" s="35">
        <f t="shared" si="41"/>
        <v>33.333333333333336</v>
      </c>
      <c r="K829" s="35">
        <f t="shared" si="42"/>
        <v>0.06237398515362948</v>
      </c>
    </row>
    <row r="830" spans="1:11" ht="12.75">
      <c r="A830" s="99">
        <v>7711111</v>
      </c>
      <c r="B830" s="99" t="s">
        <v>152</v>
      </c>
      <c r="C830" s="443">
        <v>6320000</v>
      </c>
      <c r="D830" s="35">
        <f>5500000/10*12-100000</f>
        <v>6500000</v>
      </c>
      <c r="E830" s="101">
        <v>6500000</v>
      </c>
      <c r="F830" s="106"/>
      <c r="G830" s="106"/>
      <c r="H830" s="437"/>
      <c r="I830" s="437"/>
      <c r="J830" s="35">
        <f t="shared" si="41"/>
        <v>102.84810126582279</v>
      </c>
      <c r="K830" s="35">
        <f t="shared" si="42"/>
        <v>1.0135772587464789</v>
      </c>
    </row>
    <row r="831" spans="1:11" ht="12.75">
      <c r="A831" s="99">
        <v>7711112</v>
      </c>
      <c r="B831" s="99" t="s">
        <v>153</v>
      </c>
      <c r="C831" s="443">
        <v>930000</v>
      </c>
      <c r="D831" s="35">
        <v>1000000</v>
      </c>
      <c r="E831" s="424"/>
      <c r="F831" s="424">
        <v>1000000</v>
      </c>
      <c r="G831" s="424"/>
      <c r="H831" s="437"/>
      <c r="I831" s="437"/>
      <c r="J831" s="35">
        <f t="shared" si="41"/>
        <v>107.52688172043011</v>
      </c>
      <c r="K831" s="35">
        <f t="shared" si="42"/>
        <v>0.15593496288407369</v>
      </c>
    </row>
    <row r="832" spans="1:11" ht="12.75">
      <c r="A832" s="99"/>
      <c r="B832" s="99" t="s">
        <v>568</v>
      </c>
      <c r="C832" s="443"/>
      <c r="D832" s="35">
        <v>500000</v>
      </c>
      <c r="E832" s="424">
        <v>500000</v>
      </c>
      <c r="F832" s="424"/>
      <c r="G832" s="424"/>
      <c r="H832" s="437"/>
      <c r="I832" s="437"/>
      <c r="J832" s="35"/>
      <c r="K832" s="35">
        <f t="shared" si="42"/>
        <v>0.07796748144203684</v>
      </c>
    </row>
    <row r="833" spans="1:11" ht="12.75">
      <c r="A833" s="137">
        <v>7711</v>
      </c>
      <c r="B833" s="137" t="s">
        <v>154</v>
      </c>
      <c r="C833" s="440">
        <f>SUM(C830:C831)</f>
        <v>7250000</v>
      </c>
      <c r="D833" s="37">
        <f>D830+D831+D832</f>
        <v>8000000</v>
      </c>
      <c r="E833" s="440">
        <f>E830+E831+E832</f>
        <v>7000000</v>
      </c>
      <c r="F833" s="440">
        <f>SUM(F830:F831)</f>
        <v>1000000</v>
      </c>
      <c r="G833" s="440"/>
      <c r="H833" s="440">
        <f>SUM(H830:H831)</f>
        <v>0</v>
      </c>
      <c r="I833" s="440">
        <f>SUM(I830:I831)</f>
        <v>0</v>
      </c>
      <c r="J833" s="35">
        <f t="shared" si="41"/>
        <v>110.34482758620689</v>
      </c>
      <c r="K833" s="35">
        <f t="shared" si="42"/>
        <v>1.2474797030725895</v>
      </c>
    </row>
    <row r="834" spans="1:11" ht="12.75">
      <c r="A834" s="137">
        <v>7721</v>
      </c>
      <c r="B834" s="137" t="s">
        <v>569</v>
      </c>
      <c r="C834" s="440"/>
      <c r="D834" s="37">
        <v>602000</v>
      </c>
      <c r="E834" s="440">
        <v>602000</v>
      </c>
      <c r="F834" s="440"/>
      <c r="G834" s="440"/>
      <c r="H834" s="440"/>
      <c r="I834" s="440"/>
      <c r="J834" s="35"/>
      <c r="K834" s="35">
        <f t="shared" si="42"/>
        <v>0.09387284765621236</v>
      </c>
    </row>
    <row r="835" spans="1:11" ht="12.75">
      <c r="A835" s="137">
        <v>7810</v>
      </c>
      <c r="B835" s="137" t="s">
        <v>666</v>
      </c>
      <c r="C835" s="440">
        <v>8092000</v>
      </c>
      <c r="D835" s="37">
        <f>F835</f>
        <v>8092000</v>
      </c>
      <c r="E835" s="101"/>
      <c r="F835" s="106">
        <f>7829000+263000</f>
        <v>8092000</v>
      </c>
      <c r="G835" s="106"/>
      <c r="H835" s="437"/>
      <c r="I835" s="441"/>
      <c r="J835" s="35">
        <f t="shared" si="41"/>
        <v>100</v>
      </c>
      <c r="K835" s="35">
        <f t="shared" si="42"/>
        <v>1.2618257196579243</v>
      </c>
    </row>
    <row r="836" spans="1:11" ht="12.75">
      <c r="A836" s="143">
        <v>7811110101</v>
      </c>
      <c r="B836" s="99" t="s">
        <v>155</v>
      </c>
      <c r="C836" s="443">
        <v>392673000</v>
      </c>
      <c r="D836" s="35">
        <f aca="true" t="shared" si="43" ref="D836:D841">E836+F836+H836+I836</f>
        <v>404590000</v>
      </c>
      <c r="E836" s="101"/>
      <c r="F836" s="552">
        <v>404590000</v>
      </c>
      <c r="G836" s="552"/>
      <c r="H836" s="437"/>
      <c r="I836" s="437"/>
      <c r="J836" s="35">
        <f t="shared" si="41"/>
        <v>103.03484069442004</v>
      </c>
      <c r="K836" s="35">
        <f t="shared" si="42"/>
        <v>63.089726633267375</v>
      </c>
    </row>
    <row r="837" spans="1:11" ht="12.75">
      <c r="A837" s="143">
        <v>7811110102</v>
      </c>
      <c r="B837" s="99" t="s">
        <v>156</v>
      </c>
      <c r="C837" s="443">
        <v>6545000</v>
      </c>
      <c r="D837" s="35">
        <f t="shared" si="43"/>
        <v>8552000</v>
      </c>
      <c r="E837" s="101"/>
      <c r="F837" s="552">
        <v>8552000</v>
      </c>
      <c r="G837" s="552"/>
      <c r="H837" s="437"/>
      <c r="I837" s="437"/>
      <c r="J837" s="35">
        <f t="shared" si="41"/>
        <v>130.6646294881589</v>
      </c>
      <c r="K837" s="35">
        <f t="shared" si="42"/>
        <v>1.3335558025845982</v>
      </c>
    </row>
    <row r="838" spans="1:11" ht="12.75">
      <c r="A838" s="143">
        <v>7811110103</v>
      </c>
      <c r="B838" s="99" t="s">
        <v>157</v>
      </c>
      <c r="C838" s="443">
        <v>29615000</v>
      </c>
      <c r="D838" s="35">
        <f t="shared" si="43"/>
        <v>29615000</v>
      </c>
      <c r="E838" s="101"/>
      <c r="F838" s="424">
        <v>29615000</v>
      </c>
      <c r="G838" s="424"/>
      <c r="H838" s="437"/>
      <c r="I838" s="437"/>
      <c r="J838" s="35">
        <f t="shared" si="41"/>
        <v>100</v>
      </c>
      <c r="K838" s="35">
        <f t="shared" si="42"/>
        <v>4.618013925811843</v>
      </c>
    </row>
    <row r="839" spans="1:12" ht="12.75">
      <c r="A839" s="143">
        <v>7811110104</v>
      </c>
      <c r="B839" s="99" t="s">
        <v>158</v>
      </c>
      <c r="C839" s="443">
        <v>19399000</v>
      </c>
      <c r="D839" s="35">
        <f t="shared" si="43"/>
        <v>20499000</v>
      </c>
      <c r="E839" s="101"/>
      <c r="F839" s="424">
        <f>29372000-8873000</f>
        <v>20499000</v>
      </c>
      <c r="G839" s="424"/>
      <c r="H839" s="437"/>
      <c r="I839" s="437"/>
      <c r="J839" s="35">
        <f t="shared" si="41"/>
        <v>105.67039538120521</v>
      </c>
      <c r="K839" s="35">
        <f t="shared" si="42"/>
        <v>3.1965108041606265</v>
      </c>
      <c r="L839" s="479"/>
    </row>
    <row r="840" spans="1:11" ht="12.75">
      <c r="A840" s="143">
        <v>7811110105</v>
      </c>
      <c r="B840" s="99" t="s">
        <v>159</v>
      </c>
      <c r="C840" s="443">
        <v>11028000</v>
      </c>
      <c r="D840" s="35">
        <f t="shared" si="43"/>
        <v>11028000</v>
      </c>
      <c r="E840" s="101"/>
      <c r="F840" s="424">
        <v>11028000</v>
      </c>
      <c r="G840" s="424"/>
      <c r="H840" s="437"/>
      <c r="I840" s="437"/>
      <c r="J840" s="35">
        <f t="shared" si="41"/>
        <v>100</v>
      </c>
      <c r="K840" s="35">
        <f t="shared" si="42"/>
        <v>1.7196507706855646</v>
      </c>
    </row>
    <row r="841" spans="1:11" ht="12.75">
      <c r="A841" s="143">
        <v>7811110106</v>
      </c>
      <c r="B841" s="99" t="s">
        <v>160</v>
      </c>
      <c r="C841" s="443">
        <v>10051000</v>
      </c>
      <c r="D841" s="35">
        <f t="shared" si="43"/>
        <v>11138000</v>
      </c>
      <c r="E841" s="101"/>
      <c r="F841" s="424">
        <v>11138000</v>
      </c>
      <c r="G841" s="424"/>
      <c r="H841" s="437"/>
      <c r="I841" s="437"/>
      <c r="J841" s="35">
        <f t="shared" si="41"/>
        <v>110.81484429410008</v>
      </c>
      <c r="K841" s="35">
        <f t="shared" si="42"/>
        <v>1.7368036166028127</v>
      </c>
    </row>
    <row r="842" spans="1:12" ht="12.75">
      <c r="A842" s="143"/>
      <c r="B842" s="137" t="s">
        <v>583</v>
      </c>
      <c r="C842" s="391">
        <f>SUM(C836:C841)</f>
        <v>469311000</v>
      </c>
      <c r="D842" s="37">
        <f>E842+F842+H842+I842</f>
        <v>485422000</v>
      </c>
      <c r="E842" s="130"/>
      <c r="F842" s="130">
        <f>F836+F837+F838+F839+F840+F841</f>
        <v>485422000</v>
      </c>
      <c r="G842" s="130"/>
      <c r="H842" s="587"/>
      <c r="I842" s="587"/>
      <c r="J842" s="35"/>
      <c r="K842" s="35">
        <f t="shared" si="42"/>
        <v>75.69426155311282</v>
      </c>
      <c r="L842" s="479"/>
    </row>
    <row r="843" spans="1:11" ht="12.75">
      <c r="A843" s="588">
        <v>781111013</v>
      </c>
      <c r="B843" s="137" t="s">
        <v>582</v>
      </c>
      <c r="C843" s="391">
        <v>47702000</v>
      </c>
      <c r="D843" s="37">
        <f>D844+D851+D845</f>
        <v>53313622</v>
      </c>
      <c r="E843" s="130"/>
      <c r="F843" s="130">
        <f>F844+F845+F851</f>
        <v>53313622</v>
      </c>
      <c r="G843" s="130"/>
      <c r="H843" s="587"/>
      <c r="I843" s="587"/>
      <c r="J843" s="35"/>
      <c r="K843" s="35">
        <f t="shared" si="42"/>
        <v>8.313457667785535</v>
      </c>
    </row>
    <row r="844" spans="1:11" ht="12.75">
      <c r="A844" s="143"/>
      <c r="B844" s="99" t="s">
        <v>584</v>
      </c>
      <c r="C844" s="443"/>
      <c r="D844" s="35">
        <v>24002000</v>
      </c>
      <c r="E844" s="101"/>
      <c r="F844" s="424">
        <v>24002000</v>
      </c>
      <c r="G844" s="424"/>
      <c r="H844" s="437"/>
      <c r="I844" s="437"/>
      <c r="J844" s="35"/>
      <c r="K844" s="35">
        <f t="shared" si="42"/>
        <v>3.7427509791435365</v>
      </c>
    </row>
    <row r="845" spans="1:11" ht="12.75">
      <c r="A845" s="143"/>
      <c r="B845" s="99" t="s">
        <v>624</v>
      </c>
      <c r="C845" s="443"/>
      <c r="D845" s="35">
        <f>28796622-24002000</f>
        <v>4794622</v>
      </c>
      <c r="E845" s="101"/>
      <c r="F845" s="424">
        <v>4794622</v>
      </c>
      <c r="G845" s="424"/>
      <c r="H845" s="437"/>
      <c r="I845" s="437"/>
      <c r="J845" s="35"/>
      <c r="K845" s="35">
        <f t="shared" si="42"/>
        <v>0.7476492036131631</v>
      </c>
    </row>
    <row r="846" spans="1:11" ht="12.75">
      <c r="A846" s="143"/>
      <c r="B846" s="99" t="s">
        <v>585</v>
      </c>
      <c r="C846" s="443"/>
      <c r="D846" s="35">
        <v>21635000</v>
      </c>
      <c r="E846" s="101"/>
      <c r="F846" s="424">
        <v>21754000</v>
      </c>
      <c r="G846" s="424"/>
      <c r="H846" s="437"/>
      <c r="I846" s="437"/>
      <c r="J846" s="35"/>
      <c r="K846" s="35">
        <f t="shared" si="42"/>
        <v>3.3736529219969342</v>
      </c>
    </row>
    <row r="847" spans="1:11" ht="12.75">
      <c r="A847" s="143"/>
      <c r="B847" s="99" t="s">
        <v>586</v>
      </c>
      <c r="C847" s="443"/>
      <c r="D847" s="35">
        <v>312000</v>
      </c>
      <c r="E847" s="101"/>
      <c r="F847" s="424">
        <v>407000</v>
      </c>
      <c r="G847" s="424"/>
      <c r="H847" s="437"/>
      <c r="I847" s="437"/>
      <c r="J847" s="35"/>
      <c r="K847" s="35">
        <f t="shared" si="42"/>
        <v>0.04865170841983099</v>
      </c>
    </row>
    <row r="848" spans="1:11" ht="12.75">
      <c r="A848" s="143"/>
      <c r="B848" s="99" t="s">
        <v>587</v>
      </c>
      <c r="C848" s="443"/>
      <c r="D848" s="35">
        <v>579000</v>
      </c>
      <c r="E848" s="101"/>
      <c r="F848" s="424">
        <v>585000</v>
      </c>
      <c r="G848" s="424"/>
      <c r="H848" s="437"/>
      <c r="I848" s="437"/>
      <c r="J848" s="35"/>
      <c r="K848" s="35">
        <f t="shared" si="42"/>
        <v>0.09028634350987866</v>
      </c>
    </row>
    <row r="849" spans="1:11" ht="12.75">
      <c r="A849" s="143"/>
      <c r="B849" s="99" t="s">
        <v>588</v>
      </c>
      <c r="C849" s="443"/>
      <c r="D849" s="35">
        <v>630000</v>
      </c>
      <c r="E849" s="101"/>
      <c r="F849" s="424">
        <v>636000</v>
      </c>
      <c r="G849" s="424"/>
      <c r="H849" s="437"/>
      <c r="I849" s="437"/>
      <c r="J849" s="35"/>
      <c r="K849" s="35">
        <f t="shared" si="42"/>
        <v>0.09823902661696642</v>
      </c>
    </row>
    <row r="850" spans="1:11" ht="12.75">
      <c r="A850" s="143"/>
      <c r="B850" s="99" t="s">
        <v>589</v>
      </c>
      <c r="C850" s="443"/>
      <c r="D850" s="35">
        <v>1361000</v>
      </c>
      <c r="E850" s="101"/>
      <c r="F850" s="424">
        <v>1374000</v>
      </c>
      <c r="G850" s="424"/>
      <c r="H850" s="437"/>
      <c r="I850" s="437"/>
      <c r="J850" s="35"/>
      <c r="K850" s="35">
        <f t="shared" si="42"/>
        <v>0.2122274844852243</v>
      </c>
    </row>
    <row r="851" spans="1:11" ht="12.75">
      <c r="A851" s="143"/>
      <c r="B851" s="99" t="s">
        <v>590</v>
      </c>
      <c r="C851" s="443"/>
      <c r="D851" s="35">
        <f>SUM(D846:D850)</f>
        <v>24517000</v>
      </c>
      <c r="E851" s="101"/>
      <c r="F851" s="424">
        <v>24517000</v>
      </c>
      <c r="G851" s="424"/>
      <c r="H851" s="437"/>
      <c r="I851" s="437"/>
      <c r="J851" s="35"/>
      <c r="K851" s="35">
        <f t="shared" si="42"/>
        <v>3.8230574850288344</v>
      </c>
    </row>
    <row r="852" spans="1:11" ht="12.75">
      <c r="A852" s="143"/>
      <c r="B852" s="137" t="s">
        <v>669</v>
      </c>
      <c r="C852" s="391">
        <f>C842+C843</f>
        <v>517013000</v>
      </c>
      <c r="D852" s="37">
        <f>D842+D843</f>
        <v>538735622</v>
      </c>
      <c r="E852" s="37">
        <f>E842+E843</f>
        <v>0</v>
      </c>
      <c r="F852" s="37">
        <f>F842+F843</f>
        <v>538735622</v>
      </c>
      <c r="G852" s="424"/>
      <c r="H852" s="437"/>
      <c r="I852" s="437"/>
      <c r="J852" s="35">
        <f t="shared" si="41"/>
        <v>104.201562049697</v>
      </c>
      <c r="K852" s="35">
        <f t="shared" si="42"/>
        <v>84.00771922089835</v>
      </c>
    </row>
    <row r="853" spans="1:11" ht="12.75">
      <c r="A853" s="143"/>
      <c r="B853" s="137" t="s">
        <v>593</v>
      </c>
      <c r="C853" s="391"/>
      <c r="D853" s="37">
        <v>2700000</v>
      </c>
      <c r="E853" s="130"/>
      <c r="F853" s="130">
        <v>2700000</v>
      </c>
      <c r="G853" s="130"/>
      <c r="H853" s="587"/>
      <c r="I853" s="587"/>
      <c r="J853" s="35"/>
      <c r="K853" s="35">
        <f t="shared" si="42"/>
        <v>0.42102439978699896</v>
      </c>
    </row>
    <row r="854" spans="1:11" ht="12.75">
      <c r="A854" s="444">
        <v>7810</v>
      </c>
      <c r="B854" s="430" t="s">
        <v>398</v>
      </c>
      <c r="C854" s="440">
        <v>8608000</v>
      </c>
      <c r="D854" s="37">
        <v>10956000</v>
      </c>
      <c r="E854" s="101"/>
      <c r="F854" s="106">
        <v>10956000</v>
      </c>
      <c r="G854" s="106"/>
      <c r="H854" s="437"/>
      <c r="I854" s="437"/>
      <c r="J854" s="35">
        <f t="shared" si="41"/>
        <v>127.27695167286245</v>
      </c>
      <c r="K854" s="35">
        <f t="shared" si="42"/>
        <v>1.7084234533579112</v>
      </c>
    </row>
    <row r="855" spans="1:11" ht="12.75">
      <c r="A855" s="444">
        <v>8120</v>
      </c>
      <c r="B855" s="430" t="s">
        <v>429</v>
      </c>
      <c r="C855" s="440">
        <f>E855+F855+H855+I855</f>
        <v>30000</v>
      </c>
      <c r="D855" s="37">
        <v>30000</v>
      </c>
      <c r="E855" s="101"/>
      <c r="F855" s="106"/>
      <c r="G855" s="106"/>
      <c r="H855" s="437"/>
      <c r="I855" s="441">
        <v>30000</v>
      </c>
      <c r="J855" s="35">
        <f t="shared" si="41"/>
        <v>100</v>
      </c>
      <c r="K855" s="35">
        <f t="shared" si="42"/>
        <v>0.00467804888652221</v>
      </c>
    </row>
    <row r="856" spans="1:11" ht="12.75">
      <c r="A856" s="444">
        <v>7911</v>
      </c>
      <c r="B856" s="137" t="s">
        <v>570</v>
      </c>
      <c r="C856" s="440"/>
      <c r="D856" s="37">
        <v>316800</v>
      </c>
      <c r="E856" s="130">
        <v>316800</v>
      </c>
      <c r="F856" s="106"/>
      <c r="G856" s="106"/>
      <c r="H856" s="437"/>
      <c r="I856" s="441"/>
      <c r="J856" s="35"/>
      <c r="K856" s="35">
        <f t="shared" si="42"/>
        <v>0.04940019624167454</v>
      </c>
    </row>
    <row r="857" spans="1:11" ht="12.75">
      <c r="A857" s="145"/>
      <c r="B857" s="137" t="s">
        <v>351</v>
      </c>
      <c r="C857" s="440">
        <f>C855+C854+C835+C833+C829+C828+C818+C817+C816+C852</f>
        <v>620643350</v>
      </c>
      <c r="D857" s="440">
        <f aca="true" t="shared" si="44" ref="D857:I857">D856+D855+D854+D843+D842+D835+D834+D833+D829+D828+D818+D817+D816+D853</f>
        <v>623818772</v>
      </c>
      <c r="E857" s="440">
        <f t="shared" si="44"/>
        <v>11595150</v>
      </c>
      <c r="F857" s="440">
        <f t="shared" si="44"/>
        <v>561483622</v>
      </c>
      <c r="G857" s="440">
        <f t="shared" si="44"/>
        <v>0</v>
      </c>
      <c r="H857" s="440">
        <f t="shared" si="44"/>
        <v>2000000</v>
      </c>
      <c r="I857" s="440">
        <f t="shared" si="44"/>
        <v>48740000</v>
      </c>
      <c r="J857" s="35">
        <f t="shared" si="41"/>
        <v>100.51163393597949</v>
      </c>
      <c r="K857" s="35">
        <f t="shared" si="42"/>
        <v>97.27515705820842</v>
      </c>
    </row>
    <row r="858" spans="1:11" ht="14.25" customHeight="1">
      <c r="A858" s="145"/>
      <c r="B858" s="612" t="s">
        <v>625</v>
      </c>
      <c r="C858" s="443">
        <v>14350000</v>
      </c>
      <c r="D858" s="35">
        <f>E858+I858</f>
        <v>15770000</v>
      </c>
      <c r="E858" s="424">
        <f>820000+600000</f>
        <v>1420000</v>
      </c>
      <c r="F858" s="424"/>
      <c r="G858" s="424"/>
      <c r="H858" s="437"/>
      <c r="I858" s="437">
        <v>14350000</v>
      </c>
      <c r="J858" s="35">
        <f t="shared" si="41"/>
        <v>109.89547038327527</v>
      </c>
      <c r="K858" s="35">
        <f t="shared" si="42"/>
        <v>2.459094364681842</v>
      </c>
    </row>
    <row r="859" spans="1:11" ht="22.5">
      <c r="A859" s="145"/>
      <c r="B859" s="612" t="s">
        <v>626</v>
      </c>
      <c r="C859" s="443"/>
      <c r="D859" s="35">
        <f>E859+F859+G859+H859+I859</f>
        <v>3404227.02</v>
      </c>
      <c r="E859" s="424"/>
      <c r="F859" s="424">
        <v>3404227.02</v>
      </c>
      <c r="G859" s="424"/>
      <c r="H859" s="437"/>
      <c r="I859" s="437"/>
      <c r="J859" s="35"/>
      <c r="K859" s="35">
        <f t="shared" si="42"/>
        <v>0.5308380140126607</v>
      </c>
    </row>
    <row r="860" spans="2:11" ht="22.5">
      <c r="B860" s="582" t="s">
        <v>408</v>
      </c>
      <c r="C860" s="613">
        <f>C857+C858</f>
        <v>634993350</v>
      </c>
      <c r="D860" s="584">
        <f>D857+D858+D859</f>
        <v>642992999.02</v>
      </c>
      <c r="E860" s="583">
        <f>E857+E858</f>
        <v>13015150</v>
      </c>
      <c r="F860" s="583">
        <f>F857+F858+F859</f>
        <v>564887849.02</v>
      </c>
      <c r="G860" s="583"/>
      <c r="H860" s="583">
        <f>SUM(H857:H858)</f>
        <v>2000000</v>
      </c>
      <c r="I860" s="583">
        <f>SUM(I857:I858)</f>
        <v>63090000</v>
      </c>
      <c r="J860" s="35">
        <f t="shared" si="41"/>
        <v>101.25980044042981</v>
      </c>
      <c r="K860" s="35">
        <f t="shared" si="42"/>
        <v>100.26508943690293</v>
      </c>
    </row>
    <row r="861" spans="2:11" ht="12.75">
      <c r="B861" s="676" t="s">
        <v>660</v>
      </c>
      <c r="C861" s="583"/>
      <c r="D861" s="584">
        <f>E861+F861+G861+H861+I861</f>
        <v>1700000</v>
      </c>
      <c r="E861" s="583"/>
      <c r="F861" s="583">
        <v>1700000</v>
      </c>
      <c r="G861" s="583"/>
      <c r="H861" s="583"/>
      <c r="I861" s="583"/>
      <c r="J861" s="35"/>
      <c r="K861" s="35">
        <f t="shared" si="42"/>
        <v>0.26508943690292525</v>
      </c>
    </row>
    <row r="862" spans="2:11" ht="12.75">
      <c r="B862" s="676" t="s">
        <v>673</v>
      </c>
      <c r="C862" s="583">
        <f aca="true" t="shared" si="45" ref="C862:I862">C860-C861</f>
        <v>634993350</v>
      </c>
      <c r="D862" s="583">
        <f t="shared" si="45"/>
        <v>641292999.02</v>
      </c>
      <c r="E862" s="583">
        <f t="shared" si="45"/>
        <v>13015150</v>
      </c>
      <c r="F862" s="583">
        <f t="shared" si="45"/>
        <v>563187849.02</v>
      </c>
      <c r="G862" s="583">
        <f t="shared" si="45"/>
        <v>0</v>
      </c>
      <c r="H862" s="583">
        <f t="shared" si="45"/>
        <v>2000000</v>
      </c>
      <c r="I862" s="583">
        <f t="shared" si="45"/>
        <v>63090000</v>
      </c>
      <c r="J862" s="35">
        <f t="shared" si="41"/>
        <v>100.99208110132177</v>
      </c>
      <c r="K862" s="35">
        <f t="shared" si="42"/>
        <v>100</v>
      </c>
    </row>
    <row r="863" spans="1:10" ht="12.75">
      <c r="A863" s="540"/>
      <c r="B863" s="573" t="s">
        <v>208</v>
      </c>
      <c r="C863" s="578"/>
      <c r="D863" s="549">
        <v>100</v>
      </c>
      <c r="E863" s="578">
        <f>E862*100/650165999.02</f>
        <v>2.0018195383360298</v>
      </c>
      <c r="F863" s="578">
        <f>F862*100/650165999.02</f>
        <v>86.62216262752854</v>
      </c>
      <c r="G863" s="578">
        <f>G862*100/650165999.02</f>
        <v>0</v>
      </c>
      <c r="H863" s="578">
        <f>H862*100/650165999.02</f>
        <v>0.30761374833728844</v>
      </c>
      <c r="I863" s="578">
        <f>I862*100/650165999.02</f>
        <v>9.703675691299765</v>
      </c>
      <c r="J863" s="51"/>
    </row>
    <row r="864" spans="1:10" ht="12.75">
      <c r="A864" s="540"/>
      <c r="B864" s="674"/>
      <c r="C864" s="650"/>
      <c r="D864" s="675"/>
      <c r="E864" s="650"/>
      <c r="F864" s="650"/>
      <c r="G864" s="650"/>
      <c r="H864" s="650"/>
      <c r="I864" s="650"/>
      <c r="J864" s="51"/>
    </row>
    <row r="865" spans="1:10" ht="12.75">
      <c r="A865" s="540"/>
      <c r="B865" s="674"/>
      <c r="C865" s="650"/>
      <c r="D865" s="675"/>
      <c r="E865" s="650"/>
      <c r="F865" s="650"/>
      <c r="G865" s="650"/>
      <c r="H865" s="650"/>
      <c r="I865" s="650"/>
      <c r="J865" s="51"/>
    </row>
    <row r="866" spans="1:10" ht="12.75">
      <c r="A866" s="540"/>
      <c r="B866" s="674"/>
      <c r="C866" s="650"/>
      <c r="D866" s="675"/>
      <c r="E866" s="650"/>
      <c r="F866" s="650"/>
      <c r="G866" s="650"/>
      <c r="H866" s="650"/>
      <c r="I866" s="650"/>
      <c r="J866" s="51"/>
    </row>
    <row r="867" spans="1:10" ht="12.75">
      <c r="A867" s="540"/>
      <c r="B867" s="674"/>
      <c r="C867" s="650"/>
      <c r="D867" s="675"/>
      <c r="E867" s="650"/>
      <c r="F867" s="650"/>
      <c r="G867" s="650"/>
      <c r="H867" s="650"/>
      <c r="I867" s="650"/>
      <c r="J867" s="51"/>
    </row>
    <row r="868" spans="1:10" ht="12.75">
      <c r="A868" s="540"/>
      <c r="B868" s="674"/>
      <c r="C868" s="650"/>
      <c r="D868" s="675"/>
      <c r="E868" s="650"/>
      <c r="F868" s="650"/>
      <c r="G868" s="650"/>
      <c r="H868" s="650"/>
      <c r="I868" s="650"/>
      <c r="J868" s="51"/>
    </row>
    <row r="869" spans="1:10" ht="12.75">
      <c r="A869" s="540"/>
      <c r="B869" s="674"/>
      <c r="C869" s="650"/>
      <c r="D869" s="675"/>
      <c r="E869" s="650"/>
      <c r="F869" s="650"/>
      <c r="G869" s="650"/>
      <c r="H869" s="650"/>
      <c r="I869" s="650"/>
      <c r="J869" s="51"/>
    </row>
    <row r="870" spans="1:10" ht="12.75">
      <c r="A870" s="540"/>
      <c r="B870" s="674"/>
      <c r="C870" s="650"/>
      <c r="D870" s="675"/>
      <c r="E870" s="650"/>
      <c r="F870" s="650"/>
      <c r="G870" s="650"/>
      <c r="H870" s="650"/>
      <c r="I870" s="650"/>
      <c r="J870" s="51"/>
    </row>
    <row r="871" spans="1:10" ht="12.75">
      <c r="A871" s="540"/>
      <c r="B871" s="674"/>
      <c r="C871" s="650"/>
      <c r="D871" s="675"/>
      <c r="E871" s="650"/>
      <c r="F871" s="650"/>
      <c r="G871" s="650"/>
      <c r="H871" s="650"/>
      <c r="I871" s="650"/>
      <c r="J871" s="51"/>
    </row>
    <row r="872" spans="1:10" ht="12.75">
      <c r="A872" s="540"/>
      <c r="B872" s="674"/>
      <c r="C872" s="650"/>
      <c r="D872" s="675"/>
      <c r="E872" s="650"/>
      <c r="F872" s="650"/>
      <c r="G872" s="650"/>
      <c r="H872" s="650"/>
      <c r="I872" s="650"/>
      <c r="J872" s="51"/>
    </row>
    <row r="873" spans="1:10" ht="12.75">
      <c r="A873" s="540"/>
      <c r="B873" s="674"/>
      <c r="C873" s="650"/>
      <c r="D873" s="675"/>
      <c r="E873" s="650"/>
      <c r="F873" s="650"/>
      <c r="G873" s="650"/>
      <c r="H873" s="650"/>
      <c r="I873" s="650"/>
      <c r="J873" s="51"/>
    </row>
    <row r="874" spans="1:10" ht="12.75">
      <c r="A874" s="540"/>
      <c r="B874" s="674"/>
      <c r="C874" s="650"/>
      <c r="D874" s="675"/>
      <c r="E874" s="650"/>
      <c r="F874" s="650"/>
      <c r="G874" s="650"/>
      <c r="H874" s="650"/>
      <c r="I874" s="650"/>
      <c r="J874" s="51"/>
    </row>
    <row r="875" spans="1:10" ht="12.75">
      <c r="A875" s="540"/>
      <c r="B875" s="674"/>
      <c r="C875" s="650"/>
      <c r="D875" s="675"/>
      <c r="E875" s="650"/>
      <c r="F875" s="650"/>
      <c r="G875" s="650"/>
      <c r="H875" s="650"/>
      <c r="I875" s="650"/>
      <c r="J875" s="51"/>
    </row>
    <row r="876" spans="1:10" ht="12.75">
      <c r="A876" s="540"/>
      <c r="B876" s="674"/>
      <c r="C876" s="650"/>
      <c r="D876" s="675"/>
      <c r="E876" s="650"/>
      <c r="F876" s="650"/>
      <c r="G876" s="650"/>
      <c r="H876" s="650"/>
      <c r="I876" s="650"/>
      <c r="J876" s="51"/>
    </row>
    <row r="877" spans="1:10" ht="12.75">
      <c r="A877" s="540"/>
      <c r="B877" s="674"/>
      <c r="C877" s="650"/>
      <c r="D877" s="675"/>
      <c r="E877" s="650"/>
      <c r="F877" s="650"/>
      <c r="G877" s="650"/>
      <c r="H877" s="650"/>
      <c r="I877" s="650"/>
      <c r="J877" s="51"/>
    </row>
    <row r="878" spans="1:10" ht="12.75">
      <c r="A878" s="540"/>
      <c r="B878" s="674"/>
      <c r="C878" s="650"/>
      <c r="D878" s="675"/>
      <c r="E878" s="650"/>
      <c r="F878" s="650"/>
      <c r="G878" s="650"/>
      <c r="H878" s="650"/>
      <c r="I878" s="650"/>
      <c r="J878" s="51"/>
    </row>
    <row r="879" spans="1:10" ht="12.75">
      <c r="A879" s="540"/>
      <c r="B879" s="674"/>
      <c r="C879" s="650"/>
      <c r="D879" s="675"/>
      <c r="E879" s="650"/>
      <c r="F879" s="650"/>
      <c r="G879" s="650"/>
      <c r="H879" s="650"/>
      <c r="I879" s="650"/>
      <c r="J879" s="51"/>
    </row>
    <row r="880" spans="1:10" ht="12.75">
      <c r="A880" s="540"/>
      <c r="B880" s="674"/>
      <c r="C880" s="650"/>
      <c r="D880" s="675"/>
      <c r="E880" s="650"/>
      <c r="F880" s="650"/>
      <c r="G880" s="650"/>
      <c r="H880" s="650"/>
      <c r="I880" s="650"/>
      <c r="J880" s="51"/>
    </row>
    <row r="881" spans="1:10" ht="12.75">
      <c r="A881" s="540"/>
      <c r="B881" s="674"/>
      <c r="C881" s="650"/>
      <c r="D881" s="675"/>
      <c r="E881" s="650"/>
      <c r="F881" s="650"/>
      <c r="G881" s="650"/>
      <c r="H881" s="650"/>
      <c r="I881" s="650"/>
      <c r="J881" s="51"/>
    </row>
    <row r="882" spans="1:10" ht="12.75">
      <c r="A882" s="540"/>
      <c r="B882" s="674"/>
      <c r="C882" s="650"/>
      <c r="D882" s="675"/>
      <c r="E882" s="650"/>
      <c r="F882" s="650"/>
      <c r="G882" s="650"/>
      <c r="H882" s="650"/>
      <c r="I882" s="650"/>
      <c r="J882" s="51"/>
    </row>
    <row r="883" spans="1:10" ht="12.75">
      <c r="A883" s="540"/>
      <c r="B883" s="674"/>
      <c r="C883" s="650"/>
      <c r="D883" s="675"/>
      <c r="E883" s="650"/>
      <c r="F883" s="650"/>
      <c r="G883" s="650"/>
      <c r="H883" s="650"/>
      <c r="I883" s="650"/>
      <c r="J883" s="51"/>
    </row>
    <row r="884" spans="1:10" ht="12.75">
      <c r="A884" s="540"/>
      <c r="B884" s="674"/>
      <c r="C884" s="650"/>
      <c r="D884" s="675"/>
      <c r="E884" s="650"/>
      <c r="F884" s="650"/>
      <c r="G884" s="650"/>
      <c r="H884" s="650"/>
      <c r="I884" s="650"/>
      <c r="J884" s="51"/>
    </row>
    <row r="885" spans="1:10" ht="12.75">
      <c r="A885" s="540"/>
      <c r="B885" s="674"/>
      <c r="C885" s="650"/>
      <c r="D885" s="675"/>
      <c r="E885" s="650"/>
      <c r="F885" s="650"/>
      <c r="G885" s="650"/>
      <c r="H885" s="650"/>
      <c r="I885" s="650"/>
      <c r="J885" s="51"/>
    </row>
    <row r="886" spans="1:10" ht="12.75">
      <c r="A886" s="540"/>
      <c r="B886" s="674"/>
      <c r="C886" s="650"/>
      <c r="D886" s="675"/>
      <c r="E886" s="650"/>
      <c r="F886" s="650"/>
      <c r="G886" s="650"/>
      <c r="H886" s="650"/>
      <c r="I886" s="650"/>
      <c r="J886" s="51"/>
    </row>
    <row r="887" spans="1:10" ht="12.75">
      <c r="A887" s="540"/>
      <c r="B887" s="674"/>
      <c r="C887" s="650"/>
      <c r="D887" s="675"/>
      <c r="E887" s="650"/>
      <c r="F887" s="650"/>
      <c r="G887" s="650"/>
      <c r="H887" s="650"/>
      <c r="I887" s="650"/>
      <c r="J887" s="51"/>
    </row>
    <row r="888" spans="1:10" ht="12.75">
      <c r="A888" s="540"/>
      <c r="B888" s="674"/>
      <c r="C888" s="650"/>
      <c r="D888" s="675"/>
      <c r="E888" s="650"/>
      <c r="F888" s="650"/>
      <c r="G888" s="650"/>
      <c r="H888" s="650"/>
      <c r="I888" s="650"/>
      <c r="J888" s="51"/>
    </row>
    <row r="889" spans="1:10" ht="12.75">
      <c r="A889" s="540"/>
      <c r="B889" s="674"/>
      <c r="C889" s="650"/>
      <c r="D889" s="675"/>
      <c r="E889" s="650"/>
      <c r="F889" s="650"/>
      <c r="G889" s="650"/>
      <c r="H889" s="650"/>
      <c r="I889" s="650"/>
      <c r="J889" s="51"/>
    </row>
    <row r="890" spans="1:10" ht="12.75">
      <c r="A890" s="540"/>
      <c r="B890" s="674"/>
      <c r="C890" s="650"/>
      <c r="D890" s="675"/>
      <c r="E890" s="650"/>
      <c r="F890" s="650"/>
      <c r="G890" s="650"/>
      <c r="H890" s="650"/>
      <c r="I890" s="650"/>
      <c r="J890" s="51"/>
    </row>
    <row r="891" spans="1:10" ht="12.75">
      <c r="A891" s="540"/>
      <c r="B891" s="674"/>
      <c r="C891" s="650"/>
      <c r="D891" s="675"/>
      <c r="E891" s="650"/>
      <c r="F891" s="650"/>
      <c r="G891" s="650"/>
      <c r="H891" s="650"/>
      <c r="I891" s="650"/>
      <c r="J891" s="51"/>
    </row>
    <row r="892" spans="1:9" ht="12.75">
      <c r="A892" s="18"/>
      <c r="B892" s="15" t="s">
        <v>674</v>
      </c>
      <c r="C892" s="15"/>
      <c r="D892" s="71"/>
      <c r="E892" s="15"/>
      <c r="G892" s="91"/>
      <c r="H892" s="433"/>
      <c r="I892" s="91" t="s">
        <v>221</v>
      </c>
    </row>
    <row r="893" spans="1:11" ht="33.75">
      <c r="A893" s="435" t="s">
        <v>399</v>
      </c>
      <c r="B893" s="435" t="s">
        <v>400</v>
      </c>
      <c r="C893" s="167" t="s">
        <v>401</v>
      </c>
      <c r="D893" s="123" t="s">
        <v>562</v>
      </c>
      <c r="E893" s="167" t="s">
        <v>402</v>
      </c>
      <c r="F893" s="167" t="s">
        <v>403</v>
      </c>
      <c r="G893" s="696" t="s">
        <v>650</v>
      </c>
      <c r="H893" s="438" t="s">
        <v>397</v>
      </c>
      <c r="I893" s="439" t="s">
        <v>404</v>
      </c>
      <c r="J893" s="179" t="s">
        <v>671</v>
      </c>
      <c r="K893" s="179" t="s">
        <v>208</v>
      </c>
    </row>
    <row r="894" spans="1:11" ht="12.75">
      <c r="A894" s="118">
        <v>4111</v>
      </c>
      <c r="B894" s="116" t="s">
        <v>92</v>
      </c>
      <c r="C894" s="116">
        <v>385529000</v>
      </c>
      <c r="D894" s="35">
        <f>E894+F894+H894+I894</f>
        <v>0</v>
      </c>
      <c r="E894" s="233"/>
      <c r="F894" s="437"/>
      <c r="G894" s="552"/>
      <c r="H894" s="437"/>
      <c r="I894" s="437"/>
      <c r="J894" s="35"/>
      <c r="K894" s="1"/>
    </row>
    <row r="895" spans="1:11" ht="12.75">
      <c r="A895" s="118">
        <v>4120</v>
      </c>
      <c r="B895" s="116" t="s">
        <v>409</v>
      </c>
      <c r="C895" s="116">
        <v>70804000</v>
      </c>
      <c r="D895" s="35">
        <f aca="true" t="shared" si="46" ref="D895:D913">E895+F895+H895+I895</f>
        <v>0</v>
      </c>
      <c r="E895" s="233"/>
      <c r="F895" s="437"/>
      <c r="G895" s="552"/>
      <c r="H895" s="437"/>
      <c r="I895" s="437"/>
      <c r="J895" s="35"/>
      <c r="K895" s="1"/>
    </row>
    <row r="896" spans="1:11" ht="12.75">
      <c r="A896" s="704"/>
      <c r="B896" s="592" t="s">
        <v>598</v>
      </c>
      <c r="C896" s="705">
        <v>456333000</v>
      </c>
      <c r="D896" s="706">
        <f t="shared" si="46"/>
        <v>467380000</v>
      </c>
      <c r="E896" s="705">
        <f>SUM(E894:E895)</f>
        <v>0</v>
      </c>
      <c r="F896" s="705">
        <f>F897+F898</f>
        <v>458430000</v>
      </c>
      <c r="G896" s="705">
        <v>364997384.49</v>
      </c>
      <c r="H896" s="705"/>
      <c r="I896" s="705">
        <f>467380000-F896</f>
        <v>8950000</v>
      </c>
      <c r="J896" s="35">
        <f>D896*100/C896</f>
        <v>102.42081988372526</v>
      </c>
      <c r="K896" s="35">
        <f>D896*100/613522999.02</f>
        <v>76.17970324609854</v>
      </c>
    </row>
    <row r="897" spans="1:11" ht="12.75">
      <c r="A897" s="555"/>
      <c r="B897" s="551" t="s">
        <v>596</v>
      </c>
      <c r="C897" s="551"/>
      <c r="D897" s="35">
        <v>409500000</v>
      </c>
      <c r="E897" s="564"/>
      <c r="F897" s="551">
        <v>404590000</v>
      </c>
      <c r="G897" s="551"/>
      <c r="H897" s="551"/>
      <c r="I897" s="551">
        <f>D897-F897</f>
        <v>4910000</v>
      </c>
      <c r="J897" s="35"/>
      <c r="K897" s="35">
        <f aca="true" t="shared" si="47" ref="K897:K940">D897*100/613522999.02</f>
        <v>66.74566408335262</v>
      </c>
    </row>
    <row r="898" spans="1:11" ht="12.75">
      <c r="A898" s="555"/>
      <c r="B898" s="551" t="s">
        <v>597</v>
      </c>
      <c r="C898" s="551"/>
      <c r="D898" s="35">
        <v>57880000</v>
      </c>
      <c r="E898" s="564"/>
      <c r="F898" s="551">
        <v>53840000</v>
      </c>
      <c r="G898" s="551"/>
      <c r="H898" s="551"/>
      <c r="I898" s="551">
        <f>D898-F898</f>
        <v>4040000</v>
      </c>
      <c r="J898" s="35"/>
      <c r="K898" s="35">
        <f t="shared" si="47"/>
        <v>9.43403916274591</v>
      </c>
    </row>
    <row r="899" spans="1:11" ht="22.5">
      <c r="A899" s="704">
        <v>4130</v>
      </c>
      <c r="B899" s="707" t="s">
        <v>563</v>
      </c>
      <c r="C899" s="705">
        <v>180000</v>
      </c>
      <c r="D899" s="706">
        <f t="shared" si="46"/>
        <v>900000</v>
      </c>
      <c r="E899" s="708"/>
      <c r="F899" s="705"/>
      <c r="G899" s="705"/>
      <c r="H899" s="705"/>
      <c r="I899" s="705">
        <v>900000</v>
      </c>
      <c r="J899" s="35">
        <f aca="true" t="shared" si="48" ref="J899:J939">D899*100/C899</f>
        <v>500</v>
      </c>
      <c r="K899" s="35">
        <f t="shared" si="47"/>
        <v>0.14669376721615962</v>
      </c>
    </row>
    <row r="900" spans="1:11" ht="12.75">
      <c r="A900" s="704">
        <v>4140</v>
      </c>
      <c r="B900" s="592" t="s">
        <v>411</v>
      </c>
      <c r="C900" s="705">
        <v>7450000</v>
      </c>
      <c r="D900" s="706">
        <f t="shared" si="46"/>
        <v>12402000</v>
      </c>
      <c r="E900" s="709">
        <v>7602000</v>
      </c>
      <c r="F900" s="592">
        <f>1000000+2000000</f>
        <v>3000000</v>
      </c>
      <c r="G900" s="592">
        <f>806630.88+2371213</f>
        <v>3177843.88</v>
      </c>
      <c r="H900" s="710"/>
      <c r="I900" s="593">
        <v>1800000</v>
      </c>
      <c r="J900" s="35">
        <f t="shared" si="48"/>
        <v>166.46979865771812</v>
      </c>
      <c r="K900" s="35">
        <f t="shared" si="47"/>
        <v>2.0214401122386794</v>
      </c>
    </row>
    <row r="901" spans="1:11" ht="12.75">
      <c r="A901" s="704">
        <v>4140</v>
      </c>
      <c r="B901" s="592" t="s">
        <v>629</v>
      </c>
      <c r="C901" s="705"/>
      <c r="D901" s="706">
        <f t="shared" si="46"/>
        <v>600000</v>
      </c>
      <c r="E901" s="709"/>
      <c r="F901" s="592"/>
      <c r="G901" s="592"/>
      <c r="H901" s="710"/>
      <c r="I901" s="593">
        <v>600000</v>
      </c>
      <c r="J901" s="35"/>
      <c r="K901" s="35">
        <f t="shared" si="47"/>
        <v>0.09779584481077308</v>
      </c>
    </row>
    <row r="902" spans="1:11" ht="22.5">
      <c r="A902" s="704">
        <v>4150</v>
      </c>
      <c r="B902" s="707" t="s">
        <v>599</v>
      </c>
      <c r="C902" s="593">
        <v>7109000</v>
      </c>
      <c r="D902" s="706">
        <f t="shared" si="46"/>
        <v>10659000</v>
      </c>
      <c r="E902" s="711"/>
      <c r="F902" s="593">
        <f>F903+F904</f>
        <v>8959000</v>
      </c>
      <c r="G902" s="593">
        <v>7665950.47</v>
      </c>
      <c r="H902" s="593">
        <f>H903+H904</f>
        <v>0</v>
      </c>
      <c r="I902" s="593">
        <f>I903+I904</f>
        <v>1700000</v>
      </c>
      <c r="J902" s="35">
        <f t="shared" si="48"/>
        <v>149.93669995779996</v>
      </c>
      <c r="K902" s="35">
        <f t="shared" si="47"/>
        <v>1.7373431830633836</v>
      </c>
    </row>
    <row r="903" spans="1:11" ht="12.75">
      <c r="A903" s="555"/>
      <c r="B903" s="695" t="s">
        <v>600</v>
      </c>
      <c r="C903" s="546"/>
      <c r="D903" s="557">
        <f>F903+I903</f>
        <v>9830000</v>
      </c>
      <c r="E903" s="561"/>
      <c r="F903" s="551">
        <v>8552000</v>
      </c>
      <c r="G903" s="551"/>
      <c r="H903" s="551"/>
      <c r="I903" s="551">
        <v>1278000</v>
      </c>
      <c r="J903" s="35"/>
      <c r="K903" s="35">
        <f t="shared" si="47"/>
        <v>1.6022219241498323</v>
      </c>
    </row>
    <row r="904" spans="1:11" ht="12.75">
      <c r="A904" s="555"/>
      <c r="B904" s="621" t="s">
        <v>601</v>
      </c>
      <c r="C904" s="614"/>
      <c r="D904" s="615">
        <v>829000</v>
      </c>
      <c r="E904" s="620"/>
      <c r="F904" s="622">
        <v>407000</v>
      </c>
      <c r="G904" s="551"/>
      <c r="H904" s="616"/>
      <c r="I904" s="616">
        <f>D904-F904</f>
        <v>422000</v>
      </c>
      <c r="J904" s="35"/>
      <c r="K904" s="35">
        <f t="shared" si="47"/>
        <v>0.13512125891355148</v>
      </c>
    </row>
    <row r="905" spans="1:11" ht="22.5">
      <c r="A905" s="704">
        <v>4160</v>
      </c>
      <c r="B905" s="712" t="s">
        <v>605</v>
      </c>
      <c r="C905" s="705">
        <v>9328000</v>
      </c>
      <c r="D905" s="706">
        <f t="shared" si="46"/>
        <v>9756000</v>
      </c>
      <c r="E905" s="709"/>
      <c r="F905" s="592">
        <f>F906+F907</f>
        <v>7956000</v>
      </c>
      <c r="G905" s="592">
        <v>6628561.18</v>
      </c>
      <c r="H905" s="592">
        <f>H906+H907</f>
        <v>0</v>
      </c>
      <c r="I905" s="592">
        <f>I906+I907</f>
        <v>1800000</v>
      </c>
      <c r="J905" s="35">
        <f t="shared" si="48"/>
        <v>104.58833619210978</v>
      </c>
      <c r="K905" s="35">
        <f t="shared" si="47"/>
        <v>1.5901604366231703</v>
      </c>
    </row>
    <row r="906" spans="1:11" ht="12.75">
      <c r="A906" s="555"/>
      <c r="B906" s="695" t="s">
        <v>602</v>
      </c>
      <c r="C906" s="546"/>
      <c r="D906" s="557">
        <f t="shared" si="46"/>
        <v>7756000</v>
      </c>
      <c r="E906" s="561"/>
      <c r="F906" s="553">
        <v>7756000</v>
      </c>
      <c r="G906" s="553"/>
      <c r="H906" s="552"/>
      <c r="I906" s="552"/>
      <c r="J906" s="35"/>
      <c r="K906" s="35">
        <f t="shared" si="47"/>
        <v>1.2641742872539266</v>
      </c>
    </row>
    <row r="907" spans="1:11" ht="12.75">
      <c r="A907" s="555"/>
      <c r="B907" s="621" t="s">
        <v>603</v>
      </c>
      <c r="C907" s="614"/>
      <c r="D907" s="615">
        <f t="shared" si="46"/>
        <v>2000000</v>
      </c>
      <c r="E907" s="620"/>
      <c r="F907" s="622">
        <v>200000</v>
      </c>
      <c r="G907" s="619"/>
      <c r="H907" s="616"/>
      <c r="I907" s="616">
        <v>1800000</v>
      </c>
      <c r="J907" s="35"/>
      <c r="K907" s="35">
        <f t="shared" si="47"/>
        <v>0.3259861493692436</v>
      </c>
    </row>
    <row r="908" spans="1:11" ht="12.75">
      <c r="A908" s="704">
        <v>4210</v>
      </c>
      <c r="B908" s="712" t="s">
        <v>413</v>
      </c>
      <c r="C908" s="592">
        <v>20300000</v>
      </c>
      <c r="D908" s="706">
        <f t="shared" si="46"/>
        <v>24730000</v>
      </c>
      <c r="E908" s="709"/>
      <c r="F908" s="592">
        <f>F909+F910+F911+F912+F913+F915+F914</f>
        <v>21600000</v>
      </c>
      <c r="G908" s="592">
        <f>G909+G910+G911+G912+G913+G915+G914</f>
        <v>16732887.51</v>
      </c>
      <c r="H908" s="592">
        <f>H909+H910+H911+H912+H913+H915+H914</f>
        <v>0</v>
      </c>
      <c r="I908" s="592">
        <f>I909+I910+I911+I912+I913+I915+I914</f>
        <v>3130000</v>
      </c>
      <c r="J908" s="35">
        <f t="shared" si="48"/>
        <v>121.82266009852216</v>
      </c>
      <c r="K908" s="35">
        <f t="shared" si="47"/>
        <v>4.030818736950697</v>
      </c>
    </row>
    <row r="909" spans="1:11" ht="12.75">
      <c r="A909" s="562">
        <v>4211</v>
      </c>
      <c r="B909" s="556" t="s">
        <v>101</v>
      </c>
      <c r="C909" s="552">
        <v>1600000</v>
      </c>
      <c r="D909" s="557">
        <f t="shared" si="46"/>
        <v>1900000</v>
      </c>
      <c r="E909" s="558"/>
      <c r="F909" s="556">
        <v>1520000</v>
      </c>
      <c r="G909" s="556">
        <v>1264258.73</v>
      </c>
      <c r="H909" s="552"/>
      <c r="I909" s="552">
        <v>380000</v>
      </c>
      <c r="J909" s="35">
        <f t="shared" si="48"/>
        <v>118.75</v>
      </c>
      <c r="K909" s="35">
        <f t="shared" si="47"/>
        <v>0.3096868419007814</v>
      </c>
    </row>
    <row r="910" spans="1:12" ht="12.75">
      <c r="A910" s="562">
        <v>4212</v>
      </c>
      <c r="B910" s="556" t="s">
        <v>102</v>
      </c>
      <c r="C910" s="552">
        <v>11000000</v>
      </c>
      <c r="D910" s="557">
        <f t="shared" si="46"/>
        <v>14030000</v>
      </c>
      <c r="E910" s="558"/>
      <c r="F910" s="556">
        <v>12680000</v>
      </c>
      <c r="G910" s="556">
        <v>10080905.43</v>
      </c>
      <c r="H910" s="552"/>
      <c r="I910" s="552">
        <v>1350000</v>
      </c>
      <c r="J910" s="35">
        <f t="shared" si="48"/>
        <v>127.54545454545455</v>
      </c>
      <c r="K910" s="35">
        <f t="shared" si="47"/>
        <v>2.2867928378252436</v>
      </c>
      <c r="L910" s="540"/>
    </row>
    <row r="911" spans="1:11" ht="12.75">
      <c r="A911" s="562">
        <v>4213</v>
      </c>
      <c r="B911" s="556" t="s">
        <v>103</v>
      </c>
      <c r="C911" s="552">
        <v>3700000</v>
      </c>
      <c r="D911" s="557">
        <f t="shared" si="46"/>
        <v>4300000</v>
      </c>
      <c r="E911" s="558"/>
      <c r="F911" s="556">
        <v>4000000</v>
      </c>
      <c r="G911" s="556">
        <f>2395733.82+547529.25</f>
        <v>2943263.07</v>
      </c>
      <c r="H911" s="552"/>
      <c r="I911" s="552">
        <v>300000</v>
      </c>
      <c r="J911" s="35">
        <f t="shared" si="48"/>
        <v>116.21621621621621</v>
      </c>
      <c r="K911" s="35">
        <f t="shared" si="47"/>
        <v>0.7008702211438738</v>
      </c>
    </row>
    <row r="912" spans="1:12" ht="12.75">
      <c r="A912" s="562">
        <v>4214</v>
      </c>
      <c r="B912" s="556" t="s">
        <v>104</v>
      </c>
      <c r="C912" s="552">
        <v>1400000</v>
      </c>
      <c r="D912" s="557">
        <f t="shared" si="46"/>
        <v>2200000</v>
      </c>
      <c r="E912" s="558"/>
      <c r="F912" s="556">
        <v>1400000</v>
      </c>
      <c r="G912" s="556">
        <f>693236.28+158623.01</f>
        <v>851859.29</v>
      </c>
      <c r="H912" s="552"/>
      <c r="I912" s="552">
        <v>800000</v>
      </c>
      <c r="J912" s="35">
        <f t="shared" si="48"/>
        <v>157.14285714285714</v>
      </c>
      <c r="K912" s="35">
        <f t="shared" si="47"/>
        <v>0.3585847643061679</v>
      </c>
      <c r="L912" s="540"/>
    </row>
    <row r="913" spans="1:11" ht="12.75">
      <c r="A913" s="562">
        <v>4215</v>
      </c>
      <c r="B913" s="556" t="s">
        <v>169</v>
      </c>
      <c r="C913" s="552">
        <v>2600000</v>
      </c>
      <c r="D913" s="557">
        <f t="shared" si="46"/>
        <v>2000000</v>
      </c>
      <c r="E913" s="558"/>
      <c r="F913" s="556">
        <v>2000000</v>
      </c>
      <c r="G913" s="556">
        <f>1350097.01+242503.98</f>
        <v>1592600.99</v>
      </c>
      <c r="H913" s="552"/>
      <c r="I913" s="552"/>
      <c r="J913" s="35">
        <f t="shared" si="48"/>
        <v>76.92307692307692</v>
      </c>
      <c r="K913" s="35">
        <f t="shared" si="47"/>
        <v>0.3259861493692436</v>
      </c>
    </row>
    <row r="914" spans="1:11" ht="12.75">
      <c r="A914" s="562"/>
      <c r="B914" s="551" t="s">
        <v>604</v>
      </c>
      <c r="C914" s="551"/>
      <c r="D914" s="35"/>
      <c r="E914" s="564"/>
      <c r="F914" s="551"/>
      <c r="G914" s="551"/>
      <c r="H914" s="551"/>
      <c r="I914" s="551"/>
      <c r="J914" s="35"/>
      <c r="K914" s="35">
        <f t="shared" si="47"/>
        <v>0</v>
      </c>
    </row>
    <row r="915" spans="1:11" ht="12.75">
      <c r="A915" s="713">
        <v>4220</v>
      </c>
      <c r="B915" s="593" t="s">
        <v>414</v>
      </c>
      <c r="C915" s="593">
        <v>300000</v>
      </c>
      <c r="D915" s="706">
        <f aca="true" t="shared" si="49" ref="D915:D932">E915+F915+H915+I915</f>
        <v>300000</v>
      </c>
      <c r="E915" s="711"/>
      <c r="F915" s="593"/>
      <c r="G915" s="593"/>
      <c r="H915" s="593"/>
      <c r="I915" s="593">
        <v>300000</v>
      </c>
      <c r="J915" s="35">
        <f t="shared" si="48"/>
        <v>100</v>
      </c>
      <c r="K915" s="35">
        <f t="shared" si="47"/>
        <v>0.04889792240538654</v>
      </c>
    </row>
    <row r="916" spans="1:11" ht="12.75">
      <c r="A916" s="704">
        <v>4230</v>
      </c>
      <c r="B916" s="705" t="s">
        <v>415</v>
      </c>
      <c r="C916" s="592">
        <v>9600000</v>
      </c>
      <c r="D916" s="706">
        <f t="shared" si="49"/>
        <v>11030000</v>
      </c>
      <c r="E916" s="711"/>
      <c r="F916" s="593">
        <f>F917+F918+F920+F921+F922+F923+F924</f>
        <v>2950000</v>
      </c>
      <c r="G916" s="593">
        <f>G917+G918+G920+G921+G922+G923+G924</f>
        <v>1809691.0299999998</v>
      </c>
      <c r="H916" s="593">
        <f>H917+H918+H920+H921+H922+H923+H924</f>
        <v>0</v>
      </c>
      <c r="I916" s="593">
        <f>I917+I918+I920+I921+I922+I923+I924+I919</f>
        <v>8080000</v>
      </c>
      <c r="J916" s="35">
        <f t="shared" si="48"/>
        <v>114.89583333333333</v>
      </c>
      <c r="K916" s="35">
        <f t="shared" si="47"/>
        <v>1.7978136137713783</v>
      </c>
    </row>
    <row r="917" spans="1:11" ht="12.75">
      <c r="A917" s="555">
        <v>4232</v>
      </c>
      <c r="B917" s="556" t="s">
        <v>106</v>
      </c>
      <c r="C917" s="552">
        <v>420000</v>
      </c>
      <c r="D917" s="557">
        <f t="shared" si="49"/>
        <v>650000</v>
      </c>
      <c r="E917" s="558"/>
      <c r="F917" s="556">
        <v>350000</v>
      </c>
      <c r="G917" s="556">
        <f>27000+254298</f>
        <v>281298</v>
      </c>
      <c r="H917" s="552"/>
      <c r="I917" s="552">
        <v>300000</v>
      </c>
      <c r="J917" s="35">
        <f t="shared" si="48"/>
        <v>154.76190476190476</v>
      </c>
      <c r="K917" s="35">
        <f t="shared" si="47"/>
        <v>0.10594549854500417</v>
      </c>
    </row>
    <row r="918" spans="1:11" ht="12.75">
      <c r="A918" s="555">
        <v>4233</v>
      </c>
      <c r="B918" s="556" t="s">
        <v>107</v>
      </c>
      <c r="C918" s="552">
        <v>1000000</v>
      </c>
      <c r="D918" s="557">
        <f t="shared" si="49"/>
        <v>1200000</v>
      </c>
      <c r="E918" s="558"/>
      <c r="F918" s="556"/>
      <c r="G918" s="556"/>
      <c r="H918" s="552"/>
      <c r="I918" s="552">
        <v>1200000</v>
      </c>
      <c r="J918" s="35">
        <f t="shared" si="48"/>
        <v>120</v>
      </c>
      <c r="K918" s="35">
        <f t="shared" si="47"/>
        <v>0.19559168962154616</v>
      </c>
    </row>
    <row r="919" spans="1:11" ht="12.75">
      <c r="A919" s="555">
        <v>4233</v>
      </c>
      <c r="B919" s="617" t="s">
        <v>628</v>
      </c>
      <c r="C919" s="616"/>
      <c r="D919" s="615">
        <f t="shared" si="49"/>
        <v>460000</v>
      </c>
      <c r="E919" s="618"/>
      <c r="F919" s="617"/>
      <c r="G919" s="617"/>
      <c r="H919" s="616"/>
      <c r="I919" s="616">
        <v>460000</v>
      </c>
      <c r="J919" s="35"/>
      <c r="K919" s="35">
        <f t="shared" si="47"/>
        <v>0.07497681435492602</v>
      </c>
    </row>
    <row r="920" spans="1:11" ht="12.75">
      <c r="A920" s="555">
        <v>4234</v>
      </c>
      <c r="B920" s="556" t="s">
        <v>108</v>
      </c>
      <c r="C920" s="552">
        <v>600000</v>
      </c>
      <c r="D920" s="557">
        <f t="shared" si="49"/>
        <v>500000</v>
      </c>
      <c r="E920" s="558"/>
      <c r="F920" s="556">
        <v>50000</v>
      </c>
      <c r="G920" s="556"/>
      <c r="H920" s="552"/>
      <c r="I920" s="552">
        <v>450000</v>
      </c>
      <c r="J920" s="35">
        <f t="shared" si="48"/>
        <v>83.33333333333333</v>
      </c>
      <c r="K920" s="35">
        <f t="shared" si="47"/>
        <v>0.0814965373423109</v>
      </c>
    </row>
    <row r="921" spans="1:11" ht="12.75">
      <c r="A921" s="555">
        <v>4235</v>
      </c>
      <c r="B921" s="556" t="s">
        <v>109</v>
      </c>
      <c r="C921" s="552">
        <v>4500000</v>
      </c>
      <c r="D921" s="557">
        <f t="shared" si="49"/>
        <v>5600000</v>
      </c>
      <c r="E921" s="558"/>
      <c r="F921" s="556">
        <v>500000</v>
      </c>
      <c r="G921" s="556"/>
      <c r="H921" s="552"/>
      <c r="I921" s="552">
        <v>5100000</v>
      </c>
      <c r="J921" s="35">
        <f t="shared" si="48"/>
        <v>124.44444444444444</v>
      </c>
      <c r="K921" s="35">
        <f t="shared" si="47"/>
        <v>0.912761218233882</v>
      </c>
    </row>
    <row r="922" spans="1:11" ht="12.75">
      <c r="A922" s="555">
        <v>4236</v>
      </c>
      <c r="B922" s="556" t="s">
        <v>110</v>
      </c>
      <c r="C922" s="552">
        <v>2000000</v>
      </c>
      <c r="D922" s="557">
        <f t="shared" si="49"/>
        <v>1600000</v>
      </c>
      <c r="E922" s="558"/>
      <c r="F922" s="556">
        <v>1600000</v>
      </c>
      <c r="G922" s="556">
        <f>595311.93+644590.7</f>
        <v>1239902.63</v>
      </c>
      <c r="H922" s="552"/>
      <c r="I922" s="552"/>
      <c r="J922" s="35">
        <f t="shared" si="48"/>
        <v>80</v>
      </c>
      <c r="K922" s="35">
        <f t="shared" si="47"/>
        <v>0.26078891949539484</v>
      </c>
    </row>
    <row r="923" spans="1:11" ht="12.75">
      <c r="A923" s="555">
        <v>4237</v>
      </c>
      <c r="B923" s="556" t="s">
        <v>47</v>
      </c>
      <c r="C923" s="552">
        <v>200000</v>
      </c>
      <c r="D923" s="557">
        <f t="shared" si="49"/>
        <v>270000</v>
      </c>
      <c r="E923" s="558"/>
      <c r="F923" s="556"/>
      <c r="G923" s="556"/>
      <c r="H923" s="552"/>
      <c r="I923" s="552">
        <v>270000</v>
      </c>
      <c r="J923" s="35">
        <f t="shared" si="48"/>
        <v>135</v>
      </c>
      <c r="K923" s="35">
        <f t="shared" si="47"/>
        <v>0.044008130164847885</v>
      </c>
    </row>
    <row r="924" spans="1:12" ht="12.75">
      <c r="A924" s="555">
        <v>4239</v>
      </c>
      <c r="B924" s="556" t="s">
        <v>48</v>
      </c>
      <c r="C924" s="552">
        <v>880000</v>
      </c>
      <c r="D924" s="557">
        <f t="shared" si="49"/>
        <v>750000</v>
      </c>
      <c r="E924" s="558"/>
      <c r="F924" s="556">
        <v>450000</v>
      </c>
      <c r="G924" s="556">
        <f>228195.4+60295</f>
        <v>288490.4</v>
      </c>
      <c r="H924" s="552"/>
      <c r="I924" s="552">
        <v>300000</v>
      </c>
      <c r="J924" s="35">
        <f t="shared" si="48"/>
        <v>85.22727272727273</v>
      </c>
      <c r="K924" s="35">
        <f t="shared" si="47"/>
        <v>0.12224480601346635</v>
      </c>
      <c r="L924" s="540"/>
    </row>
    <row r="925" spans="1:11" ht="12.75">
      <c r="A925" s="704">
        <v>4240</v>
      </c>
      <c r="B925" s="705" t="s">
        <v>416</v>
      </c>
      <c r="C925" s="592">
        <v>5800000</v>
      </c>
      <c r="D925" s="706">
        <f t="shared" si="49"/>
        <v>4510000</v>
      </c>
      <c r="E925" s="711"/>
      <c r="F925" s="593">
        <f>F926+F928+F929</f>
        <v>600000</v>
      </c>
      <c r="G925" s="593">
        <f>G926+G928+G929</f>
        <v>306264.65</v>
      </c>
      <c r="H925" s="593">
        <f>H926+H928+H929</f>
        <v>0</v>
      </c>
      <c r="I925" s="593">
        <f>I926+I928+I929</f>
        <v>3910000</v>
      </c>
      <c r="J925" s="35">
        <f t="shared" si="48"/>
        <v>77.75862068965517</v>
      </c>
      <c r="K925" s="35">
        <f t="shared" si="47"/>
        <v>0.7350987668276443</v>
      </c>
    </row>
    <row r="926" spans="1:11" ht="12.75">
      <c r="A926" s="555">
        <v>4243</v>
      </c>
      <c r="B926" s="556" t="s">
        <v>111</v>
      </c>
      <c r="C926" s="552">
        <v>5800000</v>
      </c>
      <c r="D926" s="557">
        <f t="shared" si="49"/>
        <v>3900000</v>
      </c>
      <c r="E926" s="558"/>
      <c r="F926" s="556">
        <v>300000</v>
      </c>
      <c r="G926" s="556">
        <v>138838.65</v>
      </c>
      <c r="H926" s="552"/>
      <c r="I926" s="552">
        <v>3600000</v>
      </c>
      <c r="J926" s="35">
        <f t="shared" si="48"/>
        <v>67.24137931034483</v>
      </c>
      <c r="K926" s="35">
        <f t="shared" si="47"/>
        <v>0.635672991270025</v>
      </c>
    </row>
    <row r="927" spans="1:11" ht="33.75">
      <c r="A927" s="571" t="s">
        <v>399</v>
      </c>
      <c r="B927" s="571" t="s">
        <v>400</v>
      </c>
      <c r="C927" s="714" t="s">
        <v>401</v>
      </c>
      <c r="D927" s="573" t="s">
        <v>562</v>
      </c>
      <c r="E927" s="714" t="s">
        <v>402</v>
      </c>
      <c r="F927" s="714" t="s">
        <v>403</v>
      </c>
      <c r="G927" s="661" t="s">
        <v>650</v>
      </c>
      <c r="H927" s="574" t="s">
        <v>397</v>
      </c>
      <c r="I927" s="575" t="s">
        <v>404</v>
      </c>
      <c r="J927" s="179" t="s">
        <v>671</v>
      </c>
      <c r="K927" s="179" t="s">
        <v>208</v>
      </c>
    </row>
    <row r="928" spans="1:11" ht="12.75">
      <c r="A928" s="555"/>
      <c r="B928" s="556" t="s">
        <v>564</v>
      </c>
      <c r="C928" s="552"/>
      <c r="D928" s="557">
        <f t="shared" si="49"/>
        <v>10000</v>
      </c>
      <c r="E928" s="558"/>
      <c r="F928" s="556"/>
      <c r="G928" s="556"/>
      <c r="H928" s="552"/>
      <c r="I928" s="552">
        <v>10000</v>
      </c>
      <c r="J928" s="35"/>
      <c r="K928" s="35">
        <f t="shared" si="47"/>
        <v>0.001629930746846218</v>
      </c>
    </row>
    <row r="929" spans="1:11" ht="12.75">
      <c r="A929" s="555"/>
      <c r="B929" s="556" t="s">
        <v>565</v>
      </c>
      <c r="C929" s="552"/>
      <c r="D929" s="557">
        <f t="shared" si="49"/>
        <v>600000</v>
      </c>
      <c r="E929" s="558"/>
      <c r="F929" s="556">
        <v>300000</v>
      </c>
      <c r="G929" s="556">
        <f>143000+24426</f>
        <v>167426</v>
      </c>
      <c r="H929" s="552"/>
      <c r="I929" s="552">
        <v>300000</v>
      </c>
      <c r="J929" s="35"/>
      <c r="K929" s="35">
        <f t="shared" si="47"/>
        <v>0.09779584481077308</v>
      </c>
    </row>
    <row r="930" spans="1:11" ht="12.75">
      <c r="A930" s="704">
        <v>4250</v>
      </c>
      <c r="B930" s="705" t="s">
        <v>417</v>
      </c>
      <c r="C930" s="592">
        <v>8957000</v>
      </c>
      <c r="D930" s="706">
        <f t="shared" si="49"/>
        <v>7836350</v>
      </c>
      <c r="E930" s="711">
        <f>E931+E932+E933</f>
        <v>176350</v>
      </c>
      <c r="F930" s="593">
        <f>F931+F932</f>
        <v>7300000</v>
      </c>
      <c r="G930" s="593">
        <f>G931+G932</f>
        <v>2004023.8199999998</v>
      </c>
      <c r="H930" s="593">
        <f>H931+H932</f>
        <v>0</v>
      </c>
      <c r="I930" s="593">
        <f>I931+I932+I933</f>
        <v>360000</v>
      </c>
      <c r="J930" s="35">
        <f t="shared" si="48"/>
        <v>87.4885564363068</v>
      </c>
      <c r="K930" s="35">
        <f t="shared" si="47"/>
        <v>1.277270780804836</v>
      </c>
    </row>
    <row r="931" spans="1:11" ht="12.75">
      <c r="A931" s="555">
        <v>4251</v>
      </c>
      <c r="B931" s="556" t="s">
        <v>112</v>
      </c>
      <c r="C931" s="552">
        <v>7057000</v>
      </c>
      <c r="D931" s="557">
        <f t="shared" si="49"/>
        <v>6036350</v>
      </c>
      <c r="E931" s="558">
        <v>176350</v>
      </c>
      <c r="F931" s="556">
        <v>5800000</v>
      </c>
      <c r="G931" s="556">
        <f>527300.06+138093.2</f>
        <v>665393.26</v>
      </c>
      <c r="H931" s="552"/>
      <c r="I931" s="552">
        <v>60000</v>
      </c>
      <c r="J931" s="35">
        <f t="shared" si="48"/>
        <v>85.53705540597988</v>
      </c>
      <c r="K931" s="35">
        <f t="shared" si="47"/>
        <v>0.9838832463725168</v>
      </c>
    </row>
    <row r="932" spans="1:11" ht="12.75">
      <c r="A932" s="555">
        <v>4252</v>
      </c>
      <c r="B932" s="556" t="s">
        <v>113</v>
      </c>
      <c r="C932" s="552">
        <v>1900000</v>
      </c>
      <c r="D932" s="557">
        <f t="shared" si="49"/>
        <v>1590000</v>
      </c>
      <c r="E932" s="558"/>
      <c r="F932" s="556">
        <v>1500000</v>
      </c>
      <c r="G932" s="556">
        <f>1233610.16+105020.4</f>
        <v>1338630.5599999998</v>
      </c>
      <c r="H932" s="552"/>
      <c r="I932" s="552">
        <v>90000</v>
      </c>
      <c r="J932" s="35">
        <f t="shared" si="48"/>
        <v>83.6842105263158</v>
      </c>
      <c r="K932" s="35">
        <f t="shared" si="47"/>
        <v>0.25915898874854865</v>
      </c>
    </row>
    <row r="933" spans="1:11" ht="12.75">
      <c r="A933" s="555">
        <v>4252</v>
      </c>
      <c r="B933" s="617" t="s">
        <v>630</v>
      </c>
      <c r="C933" s="616"/>
      <c r="D933" s="615">
        <f aca="true" t="shared" si="50" ref="D933:D940">E933+F933+H933+I933</f>
        <v>210000</v>
      </c>
      <c r="E933" s="618"/>
      <c r="F933" s="617"/>
      <c r="G933" s="617"/>
      <c r="H933" s="616"/>
      <c r="I933" s="616">
        <v>210000</v>
      </c>
      <c r="J933" s="35"/>
      <c r="K933" s="35">
        <f t="shared" si="47"/>
        <v>0.034228545683770574</v>
      </c>
    </row>
    <row r="934" spans="1:11" ht="12.75">
      <c r="A934" s="704">
        <v>4260</v>
      </c>
      <c r="B934" s="705" t="s">
        <v>418</v>
      </c>
      <c r="C934" s="592">
        <v>66163000</v>
      </c>
      <c r="D934" s="706">
        <f t="shared" si="50"/>
        <v>23410000</v>
      </c>
      <c r="E934" s="711"/>
      <c r="F934" s="593">
        <f>F935+F936+F937</f>
        <v>22200000</v>
      </c>
      <c r="G934" s="593">
        <f>G935+G936+G937</f>
        <v>14053509.290000001</v>
      </c>
      <c r="H934" s="593">
        <f>H935+H936+H937</f>
        <v>0</v>
      </c>
      <c r="I934" s="593">
        <f>I935+I936+I937</f>
        <v>1210000</v>
      </c>
      <c r="J934" s="35">
        <f t="shared" si="48"/>
        <v>35.38231337756752</v>
      </c>
      <c r="K934" s="35">
        <f t="shared" si="47"/>
        <v>3.8156678783669964</v>
      </c>
    </row>
    <row r="935" spans="1:12" ht="12.75">
      <c r="A935" s="555">
        <v>4261</v>
      </c>
      <c r="B935" s="556" t="s">
        <v>114</v>
      </c>
      <c r="C935" s="552">
        <v>5000000</v>
      </c>
      <c r="D935" s="557">
        <f t="shared" si="50"/>
        <v>5650000</v>
      </c>
      <c r="E935" s="558"/>
      <c r="F935" s="556">
        <v>5000000</v>
      </c>
      <c r="G935" s="556">
        <f>2247358.25+1434717.98</f>
        <v>3682076.23</v>
      </c>
      <c r="H935" s="552"/>
      <c r="I935" s="552">
        <v>650000</v>
      </c>
      <c r="J935" s="35">
        <f t="shared" si="48"/>
        <v>113</v>
      </c>
      <c r="K935" s="35">
        <f t="shared" si="47"/>
        <v>0.9209108719681132</v>
      </c>
      <c r="L935" s="540"/>
    </row>
    <row r="936" spans="1:12" ht="12.75">
      <c r="A936" s="555">
        <v>4263</v>
      </c>
      <c r="B936" s="556" t="s">
        <v>115</v>
      </c>
      <c r="C936" s="552">
        <v>1500000</v>
      </c>
      <c r="D936" s="557">
        <f t="shared" si="50"/>
        <v>500000</v>
      </c>
      <c r="E936" s="558"/>
      <c r="F936" s="556"/>
      <c r="G936" s="556"/>
      <c r="H936" s="552"/>
      <c r="I936" s="552">
        <v>500000</v>
      </c>
      <c r="J936" s="35">
        <f t="shared" si="48"/>
        <v>33.333333333333336</v>
      </c>
      <c r="K936" s="35">
        <f t="shared" si="47"/>
        <v>0.0814965373423109</v>
      </c>
      <c r="L936" s="540"/>
    </row>
    <row r="937" spans="1:11" ht="12.75">
      <c r="A937" s="555">
        <v>4264</v>
      </c>
      <c r="B937" s="556" t="s">
        <v>419</v>
      </c>
      <c r="C937" s="552">
        <v>19762000</v>
      </c>
      <c r="D937" s="557">
        <f t="shared" si="50"/>
        <v>17260000</v>
      </c>
      <c r="E937" s="558"/>
      <c r="F937" s="556">
        <v>17200000</v>
      </c>
      <c r="G937" s="556">
        <f>10305130.5+66302.56</f>
        <v>10371433.06</v>
      </c>
      <c r="H937" s="552"/>
      <c r="I937" s="552">
        <v>60000</v>
      </c>
      <c r="J937" s="35">
        <f t="shared" si="48"/>
        <v>87.3393381236717</v>
      </c>
      <c r="K937" s="35">
        <f t="shared" si="47"/>
        <v>2.8132604690565723</v>
      </c>
    </row>
    <row r="938" spans="1:11" ht="12.75">
      <c r="A938" s="704"/>
      <c r="B938" s="593" t="s">
        <v>566</v>
      </c>
      <c r="C938" s="593">
        <v>35079000</v>
      </c>
      <c r="D938" s="706">
        <f>E938+F938+H938+I938</f>
        <v>32347000</v>
      </c>
      <c r="E938" s="711"/>
      <c r="F938" s="593">
        <f>F939+F940+F941+F944</f>
        <v>26087000</v>
      </c>
      <c r="G938" s="593">
        <f>G939+G940+G941+G944+G945+G946</f>
        <v>22026136.9</v>
      </c>
      <c r="H938" s="593">
        <f>H939+H940+H941+H944+H945+H946</f>
        <v>0</v>
      </c>
      <c r="I938" s="593">
        <f>I939+I940+I941+I944</f>
        <v>6260000</v>
      </c>
      <c r="J938" s="35">
        <f t="shared" si="48"/>
        <v>92.21186464836512</v>
      </c>
      <c r="K938" s="35">
        <f t="shared" si="47"/>
        <v>5.272336986823461</v>
      </c>
    </row>
    <row r="939" spans="1:11" ht="12.75">
      <c r="A939" s="555">
        <v>426711</v>
      </c>
      <c r="B939" s="556" t="s">
        <v>420</v>
      </c>
      <c r="C939" s="551">
        <v>18451000</v>
      </c>
      <c r="D939" s="557">
        <f t="shared" si="50"/>
        <v>14138000</v>
      </c>
      <c r="E939" s="558"/>
      <c r="F939" s="556">
        <v>11138000</v>
      </c>
      <c r="G939" s="556">
        <f>19893544.21+53395</f>
        <v>19946939.21</v>
      </c>
      <c r="H939" s="552"/>
      <c r="I939" s="552">
        <v>3000000</v>
      </c>
      <c r="J939" s="35">
        <f t="shared" si="48"/>
        <v>76.62457319386483</v>
      </c>
      <c r="K939" s="35">
        <f t="shared" si="47"/>
        <v>2.304396089891183</v>
      </c>
    </row>
    <row r="940" spans="1:11" ht="12.75">
      <c r="A940" s="566">
        <v>426751</v>
      </c>
      <c r="B940" s="556" t="s">
        <v>567</v>
      </c>
      <c r="C940" s="556"/>
      <c r="D940" s="35">
        <f t="shared" si="50"/>
        <v>2700000</v>
      </c>
      <c r="E940" s="556"/>
      <c r="F940" s="556">
        <v>2700000</v>
      </c>
      <c r="G940" s="556"/>
      <c r="H940" s="552"/>
      <c r="I940" s="552"/>
      <c r="J940" s="35"/>
      <c r="K940" s="35">
        <f t="shared" si="47"/>
        <v>0.44008130164847886</v>
      </c>
    </row>
    <row r="941" spans="1:11" ht="12.75">
      <c r="A941" s="555">
        <v>426713</v>
      </c>
      <c r="B941" s="617" t="s">
        <v>606</v>
      </c>
      <c r="C941" s="616">
        <v>3200000</v>
      </c>
      <c r="D941" s="615">
        <f>E941+F941+H941+I941</f>
        <v>3281000</v>
      </c>
      <c r="E941" s="618"/>
      <c r="F941" s="617">
        <f>F942+F943</f>
        <v>1221000</v>
      </c>
      <c r="G941" s="617"/>
      <c r="H941" s="616"/>
      <c r="I941" s="616">
        <v>2060000</v>
      </c>
      <c r="J941" s="35">
        <f>D941*100/C941</f>
        <v>102.53125</v>
      </c>
      <c r="K941" s="35">
        <f>D941*100/613522999.02</f>
        <v>0.5347802780402441</v>
      </c>
    </row>
    <row r="942" spans="1:11" ht="12.75">
      <c r="A942" s="555"/>
      <c r="B942" s="556" t="s">
        <v>607</v>
      </c>
      <c r="C942" s="552"/>
      <c r="D942" s="557">
        <f>E942+F942+H942+I942</f>
        <v>585000</v>
      </c>
      <c r="E942" s="558"/>
      <c r="F942" s="556">
        <v>585000</v>
      </c>
      <c r="G942" s="556"/>
      <c r="H942" s="552"/>
      <c r="I942" s="552"/>
      <c r="J942" s="35"/>
      <c r="K942" s="35">
        <f aca="true" t="shared" si="51" ref="K942:K952">D942*100/613522999.02</f>
        <v>0.09535094869050374</v>
      </c>
    </row>
    <row r="943" spans="1:11" ht="12.75">
      <c r="A943" s="555"/>
      <c r="B943" s="556" t="s">
        <v>608</v>
      </c>
      <c r="C943" s="552"/>
      <c r="D943" s="557">
        <f>E943+F943+H943+I943</f>
        <v>636000</v>
      </c>
      <c r="E943" s="558"/>
      <c r="F943" s="556">
        <v>636000</v>
      </c>
      <c r="G943" s="556"/>
      <c r="H943" s="552"/>
      <c r="I943" s="552"/>
      <c r="J943" s="35"/>
      <c r="K943" s="35">
        <f t="shared" si="51"/>
        <v>0.10366359549941946</v>
      </c>
    </row>
    <row r="944" spans="1:11" ht="12.75">
      <c r="A944" s="555">
        <v>426751</v>
      </c>
      <c r="B944" s="556" t="s">
        <v>421</v>
      </c>
      <c r="C944" s="551">
        <v>13428000</v>
      </c>
      <c r="D944" s="557">
        <f aca="true" t="shared" si="52" ref="D944:D951">E944+F944+H944+I944</f>
        <v>12228000</v>
      </c>
      <c r="E944" s="558"/>
      <c r="F944" s="556">
        <v>11028000</v>
      </c>
      <c r="G944" s="556"/>
      <c r="H944" s="552"/>
      <c r="I944" s="552">
        <v>1200000</v>
      </c>
      <c r="J944" s="35">
        <f aca="true" t="shared" si="53" ref="J944:J952">D944*100/C944</f>
        <v>91.06344950848973</v>
      </c>
      <c r="K944" s="35">
        <f t="shared" si="51"/>
        <v>1.9930793172435552</v>
      </c>
    </row>
    <row r="945" spans="1:11" ht="12.75">
      <c r="A945" s="713">
        <v>4268</v>
      </c>
      <c r="B945" s="593" t="s">
        <v>118</v>
      </c>
      <c r="C945" s="593">
        <v>2000000</v>
      </c>
      <c r="D945" s="706">
        <f t="shared" si="52"/>
        <v>2500000</v>
      </c>
      <c r="E945" s="711"/>
      <c r="F945" s="593">
        <v>2500000</v>
      </c>
      <c r="G945" s="593">
        <f>893222.58+458759</f>
        <v>1351981.58</v>
      </c>
      <c r="H945" s="593"/>
      <c r="I945" s="593"/>
      <c r="J945" s="557">
        <f t="shared" si="53"/>
        <v>125</v>
      </c>
      <c r="K945" s="557">
        <f t="shared" si="51"/>
        <v>0.40748268671155446</v>
      </c>
    </row>
    <row r="946" spans="1:11" ht="12.75">
      <c r="A946" s="713">
        <v>4269</v>
      </c>
      <c r="B946" s="593" t="s">
        <v>119</v>
      </c>
      <c r="C946" s="593">
        <v>2822000</v>
      </c>
      <c r="D946" s="706">
        <f t="shared" si="52"/>
        <v>2505849.02</v>
      </c>
      <c r="E946" s="711"/>
      <c r="F946" s="593">
        <v>1605849.02</v>
      </c>
      <c r="G946" s="593">
        <f>693584.21+33631.9</f>
        <v>727216.11</v>
      </c>
      <c r="H946" s="593"/>
      <c r="I946" s="593">
        <v>900000</v>
      </c>
      <c r="J946" s="557">
        <f t="shared" si="53"/>
        <v>88.79691778880226</v>
      </c>
      <c r="K946" s="557">
        <f t="shared" si="51"/>
        <v>0.40843603646524634</v>
      </c>
    </row>
    <row r="947" spans="1:11" ht="12.75">
      <c r="A947" s="704">
        <v>4300</v>
      </c>
      <c r="B947" s="592" t="s">
        <v>423</v>
      </c>
      <c r="C947" s="592">
        <v>400000</v>
      </c>
      <c r="D947" s="706">
        <f t="shared" si="52"/>
        <v>400000</v>
      </c>
      <c r="E947" s="711"/>
      <c r="F947" s="593"/>
      <c r="G947" s="593"/>
      <c r="H947" s="593"/>
      <c r="I947" s="593">
        <v>400000</v>
      </c>
      <c r="J947" s="35">
        <f t="shared" si="53"/>
        <v>100</v>
      </c>
      <c r="K947" s="35">
        <f t="shared" si="51"/>
        <v>0.06519722987384871</v>
      </c>
    </row>
    <row r="948" spans="1:11" ht="22.5">
      <c r="A948" s="704">
        <v>4400</v>
      </c>
      <c r="B948" s="712" t="s">
        <v>424</v>
      </c>
      <c r="C948" s="592">
        <v>40000</v>
      </c>
      <c r="D948" s="706">
        <f t="shared" si="52"/>
        <v>40000</v>
      </c>
      <c r="E948" s="711"/>
      <c r="F948" s="593"/>
      <c r="G948" s="593"/>
      <c r="H948" s="593"/>
      <c r="I948" s="593">
        <v>40000</v>
      </c>
      <c r="J948" s="35">
        <f t="shared" si="53"/>
        <v>100</v>
      </c>
      <c r="K948" s="35">
        <f t="shared" si="51"/>
        <v>0.006519722987384872</v>
      </c>
    </row>
    <row r="949" spans="1:11" ht="12.75">
      <c r="A949" s="704">
        <v>4800</v>
      </c>
      <c r="B949" s="712" t="s">
        <v>425</v>
      </c>
      <c r="C949" s="592">
        <v>2800000</v>
      </c>
      <c r="D949" s="706">
        <f t="shared" si="52"/>
        <v>2800000</v>
      </c>
      <c r="E949" s="711"/>
      <c r="F949" s="593">
        <f>F950</f>
        <v>0</v>
      </c>
      <c r="G949" s="593"/>
      <c r="H949" s="593">
        <f>H950</f>
        <v>0</v>
      </c>
      <c r="I949" s="593">
        <v>2800000</v>
      </c>
      <c r="J949" s="35">
        <f t="shared" si="53"/>
        <v>100</v>
      </c>
      <c r="K949" s="35">
        <f t="shared" si="51"/>
        <v>0.456380609116941</v>
      </c>
    </row>
    <row r="950" spans="1:11" ht="12.75">
      <c r="A950" s="555">
        <v>4820</v>
      </c>
      <c r="B950" s="556" t="s">
        <v>426</v>
      </c>
      <c r="C950" s="551">
        <v>2800000</v>
      </c>
      <c r="D950" s="557">
        <f t="shared" si="52"/>
        <v>0</v>
      </c>
      <c r="E950" s="558"/>
      <c r="F950" s="556"/>
      <c r="G950" s="556">
        <f>89199+132217</f>
        <v>221416</v>
      </c>
      <c r="H950" s="552"/>
      <c r="I950" s="552"/>
      <c r="J950" s="35">
        <f t="shared" si="53"/>
        <v>0</v>
      </c>
      <c r="K950" s="35">
        <f t="shared" si="51"/>
        <v>0</v>
      </c>
    </row>
    <row r="951" spans="1:11" ht="12.75">
      <c r="A951" s="566"/>
      <c r="B951" s="554" t="s">
        <v>667</v>
      </c>
      <c r="C951" s="554"/>
      <c r="D951" s="557">
        <f t="shared" si="52"/>
        <v>316800</v>
      </c>
      <c r="E951" s="565">
        <v>316800</v>
      </c>
      <c r="F951" s="554"/>
      <c r="G951" s="554"/>
      <c r="H951" s="554"/>
      <c r="I951" s="554"/>
      <c r="J951" s="35"/>
      <c r="K951" s="35">
        <f t="shared" si="51"/>
        <v>0.05163620606008818</v>
      </c>
    </row>
    <row r="952" spans="1:11" ht="12.75">
      <c r="A952" s="566"/>
      <c r="B952" s="592" t="s">
        <v>449</v>
      </c>
      <c r="C952" s="592">
        <v>594760000</v>
      </c>
      <c r="D952" s="706">
        <f>D949+D948+D947+D938+D934+D930+D925+D916+D915+D908+D905+D902+D901+D900+D896+D951+D945+D946+D899</f>
        <v>614422999.02</v>
      </c>
      <c r="E952" s="706">
        <f>E949+E948+E947+E938+E934+E930+E925+E916+E915+E908+E905+E902+E901+E900+E896+E951</f>
        <v>8095150</v>
      </c>
      <c r="F952" s="706">
        <f>F949+F948+F947+F938+F934+F930+F925+F916+F915+F908+F905+F902+F901+F900+F896+F945+F946</f>
        <v>563187849.02</v>
      </c>
      <c r="G952" s="706">
        <f>G949+G948+G947+G938+G934+G930+G925+G916+G915+G908+G905+G902+G901+G900+G896</f>
        <v>439402253.22</v>
      </c>
      <c r="H952" s="706">
        <f>H949+H948+H947+H938+H934+H930+H925+H916+H915+H908+H905+H902+H901+H900+H896</f>
        <v>0</v>
      </c>
      <c r="I952" s="706">
        <f>I949+I948+I947+I938+I934+I930+I925+I916+I915+I908+I905+I902+I901+I900+I896+I946+I899</f>
        <v>43140000</v>
      </c>
      <c r="J952" s="35">
        <f t="shared" si="53"/>
        <v>103.30603924608245</v>
      </c>
      <c r="K952" s="35">
        <f t="shared" si="51"/>
        <v>100.14669376721616</v>
      </c>
    </row>
    <row r="953" spans="1:9" ht="12.75">
      <c r="A953" s="91"/>
      <c r="B953" s="452" t="s">
        <v>208</v>
      </c>
      <c r="C953" s="702"/>
      <c r="D953" s="702">
        <f aca="true" t="shared" si="54" ref="D953:I953">D952*100/614422999.02</f>
        <v>100</v>
      </c>
      <c r="E953" s="702">
        <f t="shared" si="54"/>
        <v>1.3175206678317222</v>
      </c>
      <c r="F953" s="702">
        <f t="shared" si="54"/>
        <v>91.66125778466632</v>
      </c>
      <c r="G953" s="702">
        <f t="shared" si="54"/>
        <v>71.51461679019882</v>
      </c>
      <c r="H953" s="702">
        <f t="shared" si="54"/>
        <v>0</v>
      </c>
      <c r="I953" s="702">
        <f t="shared" si="54"/>
        <v>7.021221547501961</v>
      </c>
    </row>
    <row r="954" spans="1:9" ht="12.75">
      <c r="A954" s="91"/>
      <c r="B954" s="541"/>
      <c r="C954" s="679"/>
      <c r="D954" s="679"/>
      <c r="E954" s="634"/>
      <c r="F954" s="634"/>
      <c r="G954" s="634"/>
      <c r="H954" s="634"/>
      <c r="I954" s="634"/>
    </row>
    <row r="955" spans="1:9" ht="12.75">
      <c r="A955" s="91"/>
      <c r="B955" s="541"/>
      <c r="C955" s="679"/>
      <c r="D955" s="679"/>
      <c r="E955" s="634"/>
      <c r="F955" s="634"/>
      <c r="G955" s="634"/>
      <c r="H955" s="634"/>
      <c r="I955" s="634"/>
    </row>
    <row r="956" spans="1:9" ht="12.75">
      <c r="A956" s="91"/>
      <c r="B956" s="541"/>
      <c r="C956" s="679"/>
      <c r="D956" s="679"/>
      <c r="E956" s="634"/>
      <c r="F956" s="634"/>
      <c r="G956" s="634"/>
      <c r="H956" s="634"/>
      <c r="I956" s="634"/>
    </row>
    <row r="957" spans="1:9" ht="12.75">
      <c r="A957" s="91"/>
      <c r="B957" s="541"/>
      <c r="C957" s="679"/>
      <c r="D957" s="679"/>
      <c r="E957" s="634"/>
      <c r="F957" s="634"/>
      <c r="G957" s="634"/>
      <c r="H957" s="634"/>
      <c r="I957" s="634"/>
    </row>
    <row r="958" spans="1:9" ht="12.75">
      <c r="A958" s="91"/>
      <c r="B958" s="541"/>
      <c r="C958" s="679"/>
      <c r="D958" s="679"/>
      <c r="E958" s="634"/>
      <c r="F958" s="634"/>
      <c r="G958" s="634"/>
      <c r="H958" s="634"/>
      <c r="I958" s="634"/>
    </row>
    <row r="959" spans="1:9" ht="12.75">
      <c r="A959" s="91"/>
      <c r="B959" s="541"/>
      <c r="C959" s="679"/>
      <c r="D959" s="679"/>
      <c r="E959" s="634"/>
      <c r="F959" s="634"/>
      <c r="G959" s="634"/>
      <c r="H959" s="634"/>
      <c r="I959" s="634"/>
    </row>
    <row r="960" spans="1:9" ht="12.75">
      <c r="A960" s="91"/>
      <c r="B960" s="541"/>
      <c r="C960" s="679"/>
      <c r="D960" s="679"/>
      <c r="E960" s="634"/>
      <c r="F960" s="634"/>
      <c r="G960" s="634"/>
      <c r="H960" s="634"/>
      <c r="I960" s="634"/>
    </row>
    <row r="961" spans="1:9" ht="12.75">
      <c r="A961" s="91"/>
      <c r="B961" s="541"/>
      <c r="C961" s="679"/>
      <c r="D961" s="679"/>
      <c r="E961" s="634"/>
      <c r="F961" s="634"/>
      <c r="G961" s="634"/>
      <c r="H961" s="634"/>
      <c r="I961" s="634"/>
    </row>
    <row r="962" spans="1:9" ht="12.75">
      <c r="A962" s="91"/>
      <c r="B962" s="541"/>
      <c r="C962" s="679"/>
      <c r="D962" s="679"/>
      <c r="E962" s="634"/>
      <c r="F962" s="634"/>
      <c r="G962" s="634"/>
      <c r="H962" s="634"/>
      <c r="I962" s="634"/>
    </row>
    <row r="963" spans="1:11" ht="12.75">
      <c r="A963" s="91"/>
      <c r="B963" s="568" t="s">
        <v>668</v>
      </c>
      <c r="C963" s="568"/>
      <c r="D963" s="569"/>
      <c r="E963" s="568"/>
      <c r="F963" s="634"/>
      <c r="G963" s="634"/>
      <c r="H963" s="634"/>
      <c r="I963" s="634"/>
      <c r="J963" s="18"/>
      <c r="K963" s="18"/>
    </row>
    <row r="964" spans="1:11" ht="33.75">
      <c r="A964" s="435" t="s">
        <v>399</v>
      </c>
      <c r="B964" s="435" t="s">
        <v>400</v>
      </c>
      <c r="C964" s="167" t="s">
        <v>401</v>
      </c>
      <c r="D964" s="123" t="s">
        <v>562</v>
      </c>
      <c r="E964" s="167" t="s">
        <v>655</v>
      </c>
      <c r="F964" s="167" t="s">
        <v>403</v>
      </c>
      <c r="G964" s="661" t="s">
        <v>650</v>
      </c>
      <c r="H964" s="438" t="s">
        <v>397</v>
      </c>
      <c r="I964" s="439" t="s">
        <v>404</v>
      </c>
      <c r="J964" s="179" t="s">
        <v>671</v>
      </c>
      <c r="K964" s="179" t="s">
        <v>208</v>
      </c>
    </row>
    <row r="965" spans="1:11" ht="12.75">
      <c r="A965" s="438">
        <v>51110</v>
      </c>
      <c r="B965" s="438" t="s">
        <v>432</v>
      </c>
      <c r="C965" s="546">
        <v>14618350</v>
      </c>
      <c r="D965" s="37">
        <f>E965+F965+H965+I965</f>
        <v>3300000</v>
      </c>
      <c r="E965" s="431">
        <f>E966+E967+E968+E969+E970+E971+E972+E973</f>
        <v>1500000</v>
      </c>
      <c r="F965" s="431">
        <f>F966+F967+F968+F969+F970+F971+F972+F973</f>
        <v>0</v>
      </c>
      <c r="G965" s="431"/>
      <c r="H965" s="431">
        <f>H966+H967+H968+H969+H970+H971+H972+H973</f>
        <v>1200000</v>
      </c>
      <c r="I965" s="431">
        <f>I966+I967+I968+I969+I970+I971+I972+I973</f>
        <v>600000</v>
      </c>
      <c r="J965" s="35">
        <f>D965*100/C965</f>
        <v>22.574367148139153</v>
      </c>
      <c r="K965" s="35">
        <f>D965*100/16175000</f>
        <v>20.401854714064914</v>
      </c>
    </row>
    <row r="966" spans="1:11" ht="12.75">
      <c r="A966" s="436"/>
      <c r="B966" s="34" t="s">
        <v>651</v>
      </c>
      <c r="C966" s="101">
        <v>3876350</v>
      </c>
      <c r="D966" s="35">
        <f aca="true" t="shared" si="55" ref="D966:D973">E966+F966+H966+I966</f>
        <v>1200000</v>
      </c>
      <c r="E966" s="424"/>
      <c r="F966" s="424"/>
      <c r="G966" s="424"/>
      <c r="H966" s="424">
        <v>1200000</v>
      </c>
      <c r="I966" s="424"/>
      <c r="J966" s="35">
        <f aca="true" t="shared" si="56" ref="J966:J983">D966*100/C966</f>
        <v>30.956956931133668</v>
      </c>
      <c r="K966" s="35">
        <f aca="true" t="shared" si="57" ref="K966:K983">D966*100/16175000</f>
        <v>7.418856259659969</v>
      </c>
    </row>
    <row r="967" spans="1:11" ht="12.75">
      <c r="A967" s="436"/>
      <c r="B967" s="436" t="s">
        <v>442</v>
      </c>
      <c r="C967" s="101">
        <f>E967+F967+H967+I967</f>
        <v>0</v>
      </c>
      <c r="D967" s="35">
        <f t="shared" si="55"/>
        <v>0</v>
      </c>
      <c r="E967" s="424"/>
      <c r="F967" s="424"/>
      <c r="G967" s="424"/>
      <c r="H967" s="424"/>
      <c r="I967" s="424"/>
      <c r="J967" s="35"/>
      <c r="K967" s="35">
        <f t="shared" si="57"/>
        <v>0</v>
      </c>
    </row>
    <row r="968" spans="1:11" ht="12.75">
      <c r="A968" s="436"/>
      <c r="B968" s="436" t="s">
        <v>443</v>
      </c>
      <c r="C968" s="101">
        <v>2500000</v>
      </c>
      <c r="D968" s="35">
        <f t="shared" si="55"/>
        <v>1500000</v>
      </c>
      <c r="E968" s="424">
        <v>1500000</v>
      </c>
      <c r="F968" s="424"/>
      <c r="G968" s="424"/>
      <c r="H968" s="424"/>
      <c r="I968" s="424"/>
      <c r="J968" s="35">
        <f t="shared" si="56"/>
        <v>60</v>
      </c>
      <c r="K968" s="35">
        <f t="shared" si="57"/>
        <v>9.273570324574962</v>
      </c>
    </row>
    <row r="969" spans="1:11" ht="12.75">
      <c r="A969" s="436"/>
      <c r="B969" s="436" t="s">
        <v>444</v>
      </c>
      <c r="C969" s="101">
        <f>E969+F969+H969+I969</f>
        <v>0</v>
      </c>
      <c r="D969" s="35">
        <f t="shared" si="55"/>
        <v>0</v>
      </c>
      <c r="E969" s="424"/>
      <c r="F969" s="424"/>
      <c r="G969" s="424"/>
      <c r="H969" s="424"/>
      <c r="I969" s="424"/>
      <c r="J969" s="35"/>
      <c r="K969" s="35">
        <f t="shared" si="57"/>
        <v>0</v>
      </c>
    </row>
    <row r="970" spans="1:11" ht="12.75">
      <c r="A970" s="436"/>
      <c r="B970" s="436" t="s">
        <v>445</v>
      </c>
      <c r="C970" s="101">
        <f>E970+F970+H970+I970</f>
        <v>0</v>
      </c>
      <c r="D970" s="35">
        <f t="shared" si="55"/>
        <v>0</v>
      </c>
      <c r="E970" s="424"/>
      <c r="F970" s="424"/>
      <c r="G970" s="424"/>
      <c r="H970" s="424"/>
      <c r="I970" s="424"/>
      <c r="J970" s="35"/>
      <c r="K970" s="35">
        <f t="shared" si="57"/>
        <v>0</v>
      </c>
    </row>
    <row r="971" spans="1:11" ht="12.75">
      <c r="A971" s="436"/>
      <c r="B971" s="436" t="s">
        <v>447</v>
      </c>
      <c r="C971" s="101">
        <v>2900000</v>
      </c>
      <c r="D971" s="35">
        <f t="shared" si="55"/>
        <v>0</v>
      </c>
      <c r="E971" s="424"/>
      <c r="F971" s="424"/>
      <c r="G971" s="424"/>
      <c r="H971" s="424"/>
      <c r="I971" s="424"/>
      <c r="J971" s="35">
        <f t="shared" si="56"/>
        <v>0</v>
      </c>
      <c r="K971" s="35">
        <f t="shared" si="57"/>
        <v>0</v>
      </c>
    </row>
    <row r="972" spans="1:11" ht="12.75">
      <c r="A972" s="436"/>
      <c r="B972" s="34" t="s">
        <v>452</v>
      </c>
      <c r="C972" s="101">
        <v>4302000</v>
      </c>
      <c r="D972" s="35">
        <f t="shared" si="55"/>
        <v>0</v>
      </c>
      <c r="E972" s="424"/>
      <c r="F972" s="424"/>
      <c r="G972" s="424"/>
      <c r="H972" s="424"/>
      <c r="I972" s="424"/>
      <c r="J972" s="35">
        <f t="shared" si="56"/>
        <v>0</v>
      </c>
      <c r="K972" s="35">
        <f t="shared" si="57"/>
        <v>0</v>
      </c>
    </row>
    <row r="973" spans="1:11" ht="33.75">
      <c r="A973" s="436"/>
      <c r="B973" s="474" t="s">
        <v>652</v>
      </c>
      <c r="C973" s="101">
        <v>1040000</v>
      </c>
      <c r="D973" s="35">
        <f t="shared" si="55"/>
        <v>600000</v>
      </c>
      <c r="E973" s="424"/>
      <c r="F973" s="424"/>
      <c r="G973" s="424"/>
      <c r="H973" s="424"/>
      <c r="I973" s="424">
        <v>600000</v>
      </c>
      <c r="J973" s="35">
        <f t="shared" si="56"/>
        <v>57.69230769230769</v>
      </c>
      <c r="K973" s="35">
        <f t="shared" si="57"/>
        <v>3.7094281298299845</v>
      </c>
    </row>
    <row r="974" spans="1:11" ht="12.75">
      <c r="A974" s="438">
        <v>5120</v>
      </c>
      <c r="B974" s="438" t="s">
        <v>433</v>
      </c>
      <c r="C974" s="431">
        <v>25615000</v>
      </c>
      <c r="D974" s="37">
        <f aca="true" t="shared" si="58" ref="D974:I974">D975+D976+D977+D978+D979+D980+D981+D982</f>
        <v>12875000</v>
      </c>
      <c r="E974" s="37">
        <f t="shared" si="58"/>
        <v>3420000</v>
      </c>
      <c r="F974" s="37">
        <f t="shared" si="58"/>
        <v>0</v>
      </c>
      <c r="G974" s="37">
        <f t="shared" si="58"/>
        <v>0</v>
      </c>
      <c r="H974" s="37">
        <f t="shared" si="58"/>
        <v>800000</v>
      </c>
      <c r="I974" s="37">
        <f t="shared" si="58"/>
        <v>8655000</v>
      </c>
      <c r="J974" s="35">
        <f t="shared" si="56"/>
        <v>50.26351747023229</v>
      </c>
      <c r="K974" s="35">
        <f t="shared" si="57"/>
        <v>79.59814528593509</v>
      </c>
    </row>
    <row r="975" spans="1:11" ht="12.75">
      <c r="A975" s="436"/>
      <c r="B975" s="436" t="s">
        <v>434</v>
      </c>
      <c r="C975" s="551">
        <v>3120000</v>
      </c>
      <c r="D975" s="35">
        <f>E975+F975+H975+I975</f>
        <v>3120000</v>
      </c>
      <c r="E975" s="424">
        <v>2820000</v>
      </c>
      <c r="F975" s="424"/>
      <c r="G975" s="424"/>
      <c r="H975" s="424"/>
      <c r="I975" s="552">
        <v>300000</v>
      </c>
      <c r="J975" s="35">
        <f t="shared" si="56"/>
        <v>100</v>
      </c>
      <c r="K975" s="35">
        <f t="shared" si="57"/>
        <v>19.28902627511592</v>
      </c>
    </row>
    <row r="976" spans="1:11" ht="12.75">
      <c r="A976" s="436"/>
      <c r="B976" s="436" t="s">
        <v>436</v>
      </c>
      <c r="C976" s="551">
        <v>3755000</v>
      </c>
      <c r="D976" s="35">
        <v>1255000</v>
      </c>
      <c r="E976" s="424"/>
      <c r="F976" s="424"/>
      <c r="G976" s="424"/>
      <c r="H976" s="424"/>
      <c r="I976" s="552">
        <v>1255000</v>
      </c>
      <c r="J976" s="35">
        <f t="shared" si="56"/>
        <v>33.422103861517975</v>
      </c>
      <c r="K976" s="35">
        <f t="shared" si="57"/>
        <v>7.758887171561051</v>
      </c>
    </row>
    <row r="977" spans="1:11" ht="12.75">
      <c r="A977" s="436"/>
      <c r="B977" s="436" t="s">
        <v>435</v>
      </c>
      <c r="C977" s="551">
        <v>8170000</v>
      </c>
      <c r="D977" s="35">
        <f aca="true" t="shared" si="59" ref="D977:D982">E977+F977+H977+I977</f>
        <v>210000</v>
      </c>
      <c r="E977" s="424"/>
      <c r="F977" s="424"/>
      <c r="G977" s="424"/>
      <c r="H977" s="424">
        <v>210000</v>
      </c>
      <c r="I977" s="552"/>
      <c r="J977" s="35">
        <f t="shared" si="56"/>
        <v>2.570379436964504</v>
      </c>
      <c r="K977" s="35">
        <f t="shared" si="57"/>
        <v>1.2982998454404946</v>
      </c>
    </row>
    <row r="978" spans="1:11" ht="12.75">
      <c r="A978" s="436"/>
      <c r="B978" s="563" t="s">
        <v>627</v>
      </c>
      <c r="C978" s="551"/>
      <c r="D978" s="557">
        <f t="shared" si="59"/>
        <v>2800000</v>
      </c>
      <c r="E978" s="552"/>
      <c r="F978" s="552"/>
      <c r="G978" s="552"/>
      <c r="H978" s="552"/>
      <c r="I978" s="552">
        <v>2800000</v>
      </c>
      <c r="J978" s="35"/>
      <c r="K978" s="35">
        <f t="shared" si="57"/>
        <v>17.31066460587326</v>
      </c>
    </row>
    <row r="979" spans="1:11" ht="12.75">
      <c r="A979" s="436"/>
      <c r="B979" s="34" t="s">
        <v>654</v>
      </c>
      <c r="C979" s="551"/>
      <c r="D979" s="35">
        <f t="shared" si="59"/>
        <v>1100000</v>
      </c>
      <c r="E979" s="424">
        <v>600000</v>
      </c>
      <c r="F979" s="424"/>
      <c r="G979" s="424"/>
      <c r="H979" s="424"/>
      <c r="I979" s="552">
        <v>500000</v>
      </c>
      <c r="J979" s="35"/>
      <c r="K979" s="35">
        <f t="shared" si="57"/>
        <v>6.800618238021638</v>
      </c>
    </row>
    <row r="980" spans="1:11" ht="12.75">
      <c r="A980" s="436"/>
      <c r="B980" s="34" t="s">
        <v>653</v>
      </c>
      <c r="C980" s="551"/>
      <c r="D980" s="35">
        <f t="shared" si="59"/>
        <v>425000</v>
      </c>
      <c r="E980" s="424"/>
      <c r="F980" s="424"/>
      <c r="G980" s="424"/>
      <c r="H980" s="424">
        <v>425000</v>
      </c>
      <c r="I980" s="552"/>
      <c r="J980" s="35"/>
      <c r="K980" s="35">
        <f t="shared" si="57"/>
        <v>2.6275115919629055</v>
      </c>
    </row>
    <row r="981" spans="1:11" ht="12.75">
      <c r="A981" s="436"/>
      <c r="B981" s="436" t="s">
        <v>446</v>
      </c>
      <c r="C981" s="551">
        <v>7400000</v>
      </c>
      <c r="D981" s="35">
        <f t="shared" si="59"/>
        <v>3500000</v>
      </c>
      <c r="E981" s="424"/>
      <c r="F981" s="424"/>
      <c r="G981" s="424"/>
      <c r="H981" s="424"/>
      <c r="I981" s="552">
        <v>3500000</v>
      </c>
      <c r="J981" s="35">
        <f t="shared" si="56"/>
        <v>47.2972972972973</v>
      </c>
      <c r="K981" s="35">
        <f t="shared" si="57"/>
        <v>21.638330757341578</v>
      </c>
    </row>
    <row r="982" spans="1:11" ht="12.75">
      <c r="A982" s="436"/>
      <c r="B982" s="34" t="s">
        <v>453</v>
      </c>
      <c r="C982" s="551">
        <v>3170000</v>
      </c>
      <c r="D982" s="35">
        <f t="shared" si="59"/>
        <v>465000</v>
      </c>
      <c r="E982" s="424"/>
      <c r="F982" s="424"/>
      <c r="G982" s="424"/>
      <c r="H982" s="424">
        <v>165000</v>
      </c>
      <c r="I982" s="552">
        <v>300000</v>
      </c>
      <c r="J982" s="35">
        <f t="shared" si="56"/>
        <v>14.668769716088327</v>
      </c>
      <c r="K982" s="35">
        <f t="shared" si="57"/>
        <v>2.874806800618238</v>
      </c>
    </row>
    <row r="983" spans="1:11" ht="12.75">
      <c r="A983" s="436"/>
      <c r="B983" s="452" t="s">
        <v>357</v>
      </c>
      <c r="C983" s="130">
        <v>40233350</v>
      </c>
      <c r="D983" s="37">
        <f>D965+D974</f>
        <v>16175000</v>
      </c>
      <c r="E983" s="130">
        <f>E965+E974</f>
        <v>4920000</v>
      </c>
      <c r="F983" s="475">
        <f>F965+F974</f>
        <v>0</v>
      </c>
      <c r="G983" s="475"/>
      <c r="H983" s="130">
        <f>H965+H974</f>
        <v>2000000</v>
      </c>
      <c r="I983" s="130">
        <f>I965+I974</f>
        <v>9255000</v>
      </c>
      <c r="J983" s="35">
        <f t="shared" si="56"/>
        <v>40.20296594740433</v>
      </c>
      <c r="K983" s="35">
        <f t="shared" si="57"/>
        <v>100</v>
      </c>
    </row>
    <row r="984" spans="2:10" ht="12.75">
      <c r="B984" s="34" t="s">
        <v>505</v>
      </c>
      <c r="C984" s="701"/>
      <c r="D984" s="701">
        <f aca="true" t="shared" si="60" ref="D984:I984">D983*100/16175000</f>
        <v>100</v>
      </c>
      <c r="E984" s="701">
        <f t="shared" si="60"/>
        <v>30.417310664605875</v>
      </c>
      <c r="F984" s="701">
        <f t="shared" si="60"/>
        <v>0</v>
      </c>
      <c r="G984" s="701">
        <f t="shared" si="60"/>
        <v>0</v>
      </c>
      <c r="H984" s="701">
        <f t="shared" si="60"/>
        <v>12.364760432766616</v>
      </c>
      <c r="I984" s="701">
        <f t="shared" si="60"/>
        <v>57.21792890262751</v>
      </c>
      <c r="J984" s="703"/>
    </row>
    <row r="985" spans="4:9" ht="12.75">
      <c r="D985" s="479"/>
      <c r="H985" s="27"/>
      <c r="I985" s="27"/>
    </row>
    <row r="986" spans="2:9" ht="12.75">
      <c r="B986" s="584" t="s">
        <v>454</v>
      </c>
      <c r="C986" s="584">
        <f>C983+C952</f>
        <v>634993350</v>
      </c>
      <c r="D986" s="584">
        <f>D983+D952</f>
        <v>630597999.02</v>
      </c>
      <c r="E986" s="584">
        <f>E983+E952</f>
        <v>13015150</v>
      </c>
      <c r="F986" s="584">
        <f>F983+F952</f>
        <v>563187849.02</v>
      </c>
      <c r="G986" s="584"/>
      <c r="H986" s="584">
        <f>H983+H952</f>
        <v>2000000</v>
      </c>
      <c r="I986" s="584">
        <f>I983+I952</f>
        <v>52395000</v>
      </c>
    </row>
    <row r="987" spans="2:9" ht="12.75">
      <c r="B987" s="677" t="s">
        <v>665</v>
      </c>
      <c r="C987" s="678">
        <v>634993350</v>
      </c>
      <c r="D987" s="678">
        <v>641292999.02</v>
      </c>
      <c r="E987" s="678">
        <v>13015150</v>
      </c>
      <c r="F987" s="678">
        <v>563187849.02</v>
      </c>
      <c r="G987" s="678">
        <v>0</v>
      </c>
      <c r="H987" s="678">
        <v>2000000</v>
      </c>
      <c r="I987" s="678">
        <v>63090000</v>
      </c>
    </row>
    <row r="988" spans="2:9" ht="12.75">
      <c r="B988" s="547" t="s">
        <v>609</v>
      </c>
      <c r="C988" s="549">
        <f>C987-C986</f>
        <v>0</v>
      </c>
      <c r="D988" s="549">
        <f aca="true" t="shared" si="61" ref="D988:I988">D987-D986</f>
        <v>10695000</v>
      </c>
      <c r="E988" s="549">
        <f t="shared" si="61"/>
        <v>0</v>
      </c>
      <c r="F988" s="549">
        <f t="shared" si="61"/>
        <v>0</v>
      </c>
      <c r="G988" s="549">
        <f t="shared" si="61"/>
        <v>0</v>
      </c>
      <c r="H988" s="549">
        <f t="shared" si="61"/>
        <v>0</v>
      </c>
      <c r="I988" s="549">
        <f t="shared" si="61"/>
        <v>10695000</v>
      </c>
    </row>
    <row r="989" spans="2:9" ht="12.75">
      <c r="B989" s="569"/>
      <c r="C989" s="675"/>
      <c r="D989" s="675"/>
      <c r="E989" s="675"/>
      <c r="F989" s="675"/>
      <c r="G989" s="675"/>
      <c r="H989" s="675"/>
      <c r="I989" s="675"/>
    </row>
    <row r="990" spans="2:9" ht="12.75">
      <c r="B990" s="569"/>
      <c r="C990" s="675"/>
      <c r="D990" s="675"/>
      <c r="E990" s="675"/>
      <c r="F990" s="675"/>
      <c r="G990" s="675"/>
      <c r="H990" s="675"/>
      <c r="I990" s="675"/>
    </row>
  </sheetData>
  <sheetProtection/>
  <mergeCells count="4">
    <mergeCell ref="K630:K632"/>
    <mergeCell ref="L681:M681"/>
    <mergeCell ref="L730:M730"/>
    <mergeCell ref="L751:M7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2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57">
      <selection activeCell="G184" sqref="G184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4" width="12.00390625" style="0" customWidth="1"/>
    <col min="5" max="5" width="10.57421875" style="0" customWidth="1"/>
    <col min="6" max="6" width="10.140625" style="0" customWidth="1"/>
    <col min="7" max="7" width="8.28125" style="0" customWidth="1"/>
    <col min="8" max="9" width="7.57421875" style="0" customWidth="1"/>
    <col min="10" max="10" width="7.421875" style="0" customWidth="1"/>
    <col min="11" max="11" width="6.8515625" style="0" customWidth="1"/>
    <col min="12" max="12" width="11.7109375" style="0" customWidth="1"/>
    <col min="13" max="13" width="8.00390625" style="0" customWidth="1"/>
    <col min="14" max="14" width="5.57421875" style="0" customWidth="1"/>
    <col min="15" max="15" width="11.421875" style="0" customWidth="1"/>
    <col min="16" max="16" width="12.28125" style="0" customWidth="1"/>
    <col min="17" max="17" width="12.7109375" style="0" bestFit="1" customWidth="1"/>
    <col min="18" max="18" width="10.00390625" style="0" bestFit="1" customWidth="1"/>
  </cols>
  <sheetData>
    <row r="1" spans="1:14" ht="12.75">
      <c r="A1" s="481"/>
      <c r="B1" s="481"/>
      <c r="C1" s="482" t="s">
        <v>455</v>
      </c>
      <c r="D1" s="482"/>
      <c r="E1" s="482"/>
      <c r="F1" s="482"/>
      <c r="G1" s="481"/>
      <c r="H1" s="481"/>
      <c r="I1" s="481"/>
      <c r="J1" s="538" t="s">
        <v>573</v>
      </c>
      <c r="K1" s="538"/>
      <c r="L1" s="481"/>
      <c r="M1" s="481"/>
      <c r="N1" s="481"/>
    </row>
    <row r="2" spans="1:16" ht="12.75">
      <c r="A2" s="482" t="s">
        <v>456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P2" s="505"/>
    </row>
    <row r="3" spans="1:16" ht="39">
      <c r="A3" s="483" t="s">
        <v>0</v>
      </c>
      <c r="B3" s="483" t="s">
        <v>1</v>
      </c>
      <c r="C3" s="483" t="s">
        <v>2</v>
      </c>
      <c r="D3" s="483" t="s">
        <v>403</v>
      </c>
      <c r="E3" s="483" t="s">
        <v>4</v>
      </c>
      <c r="F3" s="484" t="s">
        <v>457</v>
      </c>
      <c r="G3" s="483" t="s">
        <v>6</v>
      </c>
      <c r="H3" s="484" t="s">
        <v>458</v>
      </c>
      <c r="I3" s="483" t="s">
        <v>191</v>
      </c>
      <c r="J3" s="483" t="s">
        <v>459</v>
      </c>
      <c r="K3" s="484" t="s">
        <v>460</v>
      </c>
      <c r="L3" s="483" t="s">
        <v>201</v>
      </c>
      <c r="M3" s="484" t="s">
        <v>461</v>
      </c>
      <c r="N3" s="484" t="s">
        <v>462</v>
      </c>
      <c r="O3" s="503" t="s">
        <v>557</v>
      </c>
      <c r="P3" s="504" t="s">
        <v>558</v>
      </c>
    </row>
    <row r="4" spans="1:16" ht="12.75">
      <c r="A4" s="485">
        <v>4111</v>
      </c>
      <c r="B4" s="483" t="s">
        <v>92</v>
      </c>
      <c r="C4" s="483">
        <v>279775621.21</v>
      </c>
      <c r="D4" s="483">
        <v>276569717.53</v>
      </c>
      <c r="E4" s="483"/>
      <c r="F4" s="483">
        <v>3205903.68</v>
      </c>
      <c r="G4" s="483"/>
      <c r="H4" s="483"/>
      <c r="I4" s="483"/>
      <c r="J4" s="483"/>
      <c r="K4" s="483"/>
      <c r="L4" s="483">
        <v>385529000</v>
      </c>
      <c r="M4" s="483">
        <v>72.56928044582897</v>
      </c>
      <c r="N4" s="483">
        <f>C4*100/427702493.03</f>
        <v>65.41360543118833</v>
      </c>
      <c r="O4" s="483">
        <f>C4/3*4</f>
        <v>373034161.6133333</v>
      </c>
      <c r="P4" s="483"/>
    </row>
    <row r="5" spans="1:16" ht="12.75">
      <c r="A5" s="485" t="s">
        <v>463</v>
      </c>
      <c r="B5" s="483" t="s">
        <v>464</v>
      </c>
      <c r="C5" s="483">
        <v>51600537.22</v>
      </c>
      <c r="D5" s="483">
        <v>49561822.01</v>
      </c>
      <c r="E5" s="483"/>
      <c r="F5" s="483">
        <v>2038715.2100000002</v>
      </c>
      <c r="G5" s="483"/>
      <c r="H5" s="483"/>
      <c r="I5" s="483"/>
      <c r="J5" s="483"/>
      <c r="K5" s="483"/>
      <c r="L5" s="483">
        <v>70804000</v>
      </c>
      <c r="M5" s="483">
        <v>72.87799731653578</v>
      </c>
      <c r="N5" s="483">
        <f aca="true" t="shared" si="0" ref="N5:N68">C5*100/427702493.03</f>
        <v>12.064586496665715</v>
      </c>
      <c r="O5" s="483">
        <f aca="true" t="shared" si="1" ref="O5:O68">C5/3*4</f>
        <v>68800716.29333334</v>
      </c>
      <c r="P5" s="483"/>
    </row>
    <row r="6" spans="1:18" ht="12.75">
      <c r="A6" s="486" t="s">
        <v>465</v>
      </c>
      <c r="B6" s="487" t="s">
        <v>466</v>
      </c>
      <c r="C6" s="487">
        <v>331376158.42999995</v>
      </c>
      <c r="D6" s="487">
        <v>326131539.53999996</v>
      </c>
      <c r="E6" s="487"/>
      <c r="F6" s="487">
        <v>5244618.890000001</v>
      </c>
      <c r="G6" s="487"/>
      <c r="H6" s="487"/>
      <c r="I6" s="487"/>
      <c r="J6" s="487"/>
      <c r="K6" s="487"/>
      <c r="L6" s="487">
        <v>456333000</v>
      </c>
      <c r="M6" s="487">
        <v>72.61718053044596</v>
      </c>
      <c r="N6" s="487">
        <f t="shared" si="0"/>
        <v>77.47819192785404</v>
      </c>
      <c r="O6" s="483">
        <f t="shared" si="1"/>
        <v>441834877.9066666</v>
      </c>
      <c r="P6" s="507">
        <f>468109800+8110000</f>
        <v>476219800</v>
      </c>
      <c r="Q6" s="526">
        <f>C6/8.5</f>
        <v>38985430.403529406</v>
      </c>
      <c r="R6">
        <f>Q6*12</f>
        <v>467825164.84235287</v>
      </c>
    </row>
    <row r="7" spans="1:16" ht="12.75">
      <c r="A7" s="485">
        <v>413142</v>
      </c>
      <c r="B7" s="483" t="s">
        <v>467</v>
      </c>
      <c r="C7" s="483">
        <v>271.11</v>
      </c>
      <c r="D7" s="483"/>
      <c r="E7" s="483"/>
      <c r="F7" s="483">
        <v>271.11</v>
      </c>
      <c r="G7" s="483"/>
      <c r="H7" s="483"/>
      <c r="I7" s="483"/>
      <c r="J7" s="483"/>
      <c r="K7" s="483"/>
      <c r="L7" s="483"/>
      <c r="M7" s="483"/>
      <c r="N7" s="483">
        <f t="shared" si="0"/>
        <v>6.338751922612333E-05</v>
      </c>
      <c r="O7" s="483">
        <f t="shared" si="1"/>
        <v>361.48</v>
      </c>
      <c r="P7" s="483">
        <v>700000</v>
      </c>
    </row>
    <row r="8" spans="1:16" ht="12.75">
      <c r="A8" s="485">
        <v>413151</v>
      </c>
      <c r="B8" s="483" t="s">
        <v>15</v>
      </c>
      <c r="C8" s="483">
        <v>132799.29</v>
      </c>
      <c r="D8" s="483"/>
      <c r="E8" s="483"/>
      <c r="F8" s="483"/>
      <c r="G8" s="483">
        <v>132799.29</v>
      </c>
      <c r="H8" s="483"/>
      <c r="I8" s="483"/>
      <c r="J8" s="483"/>
      <c r="K8" s="483"/>
      <c r="L8" s="483"/>
      <c r="M8" s="483"/>
      <c r="N8" s="483">
        <f t="shared" si="0"/>
        <v>0.031049454273507162</v>
      </c>
      <c r="O8" s="483">
        <f t="shared" si="1"/>
        <v>177065.72</v>
      </c>
      <c r="P8" s="483">
        <v>180000</v>
      </c>
    </row>
    <row r="9" spans="1:17" ht="12.75">
      <c r="A9" s="486">
        <v>4131</v>
      </c>
      <c r="B9" s="487" t="s">
        <v>97</v>
      </c>
      <c r="C9" s="487">
        <v>133070.4</v>
      </c>
      <c r="D9" s="487"/>
      <c r="E9" s="487"/>
      <c r="F9" s="487">
        <v>271.11</v>
      </c>
      <c r="G9" s="487">
        <v>132799.29</v>
      </c>
      <c r="H9" s="487"/>
      <c r="I9" s="487"/>
      <c r="J9" s="487"/>
      <c r="K9" s="487"/>
      <c r="L9" s="487">
        <v>180000</v>
      </c>
      <c r="M9" s="487">
        <v>73.928</v>
      </c>
      <c r="N9" s="487">
        <f t="shared" si="0"/>
        <v>0.031112841792733287</v>
      </c>
      <c r="O9" s="483">
        <f t="shared" si="1"/>
        <v>177427.19999999998</v>
      </c>
      <c r="P9" s="507">
        <f>SUM(P7:P8)</f>
        <v>880000</v>
      </c>
      <c r="Q9" s="526"/>
    </row>
    <row r="10" spans="1:16" ht="12.75">
      <c r="A10" s="485">
        <v>414111</v>
      </c>
      <c r="B10" s="483" t="s">
        <v>16</v>
      </c>
      <c r="C10" s="483">
        <v>4861341.83</v>
      </c>
      <c r="D10" s="483"/>
      <c r="E10" s="483"/>
      <c r="F10" s="483">
        <v>8225.24</v>
      </c>
      <c r="G10" s="483"/>
      <c r="H10" s="483">
        <v>4853116.59</v>
      </c>
      <c r="I10" s="483"/>
      <c r="J10" s="483"/>
      <c r="K10" s="483"/>
      <c r="L10" s="483"/>
      <c r="M10" s="483"/>
      <c r="N10" s="483">
        <f t="shared" si="0"/>
        <v>1.1366176043446665</v>
      </c>
      <c r="O10" s="483">
        <f t="shared" si="1"/>
        <v>6481789.106666666</v>
      </c>
      <c r="P10" s="483">
        <v>6500000</v>
      </c>
    </row>
    <row r="11" spans="1:16" ht="12.75">
      <c r="A11" s="485">
        <v>414121</v>
      </c>
      <c r="B11" s="483" t="s">
        <v>17</v>
      </c>
      <c r="C11" s="483">
        <v>741930.6</v>
      </c>
      <c r="D11" s="483">
        <v>741930.6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>
        <f t="shared" si="0"/>
        <v>0.17346885091641479</v>
      </c>
      <c r="O11" s="483">
        <f t="shared" si="1"/>
        <v>989240.7999999999</v>
      </c>
      <c r="P11" s="483">
        <v>1000000</v>
      </c>
    </row>
    <row r="12" spans="1:16" ht="12.75">
      <c r="A12" s="485">
        <v>414131</v>
      </c>
      <c r="B12" s="483" t="s">
        <v>18</v>
      </c>
      <c r="C12" s="483">
        <v>217948.79</v>
      </c>
      <c r="D12" s="483"/>
      <c r="E12" s="483"/>
      <c r="F12" s="483">
        <v>39947.75</v>
      </c>
      <c r="G12" s="483"/>
      <c r="H12" s="483">
        <v>178001.04</v>
      </c>
      <c r="I12" s="483"/>
      <c r="J12" s="483"/>
      <c r="K12" s="483"/>
      <c r="L12" s="483"/>
      <c r="M12" s="483"/>
      <c r="N12" s="483">
        <f t="shared" si="0"/>
        <v>0.05095803591322826</v>
      </c>
      <c r="O12" s="483">
        <f t="shared" si="1"/>
        <v>290598.38666666666</v>
      </c>
      <c r="P12" s="483">
        <v>300000</v>
      </c>
    </row>
    <row r="13" spans="1:16" ht="12.75">
      <c r="A13" s="488">
        <v>4141</v>
      </c>
      <c r="B13" s="489" t="s">
        <v>98</v>
      </c>
      <c r="C13" s="489">
        <v>5821221.22</v>
      </c>
      <c r="D13" s="489">
        <v>741930.6</v>
      </c>
      <c r="E13" s="489"/>
      <c r="F13" s="489">
        <v>48172.99</v>
      </c>
      <c r="G13" s="489"/>
      <c r="H13" s="489">
        <v>5031117.63</v>
      </c>
      <c r="I13" s="489"/>
      <c r="J13" s="489"/>
      <c r="K13" s="489"/>
      <c r="L13" s="489"/>
      <c r="M13" s="489"/>
      <c r="N13" s="489">
        <f t="shared" si="0"/>
        <v>1.3610444911743096</v>
      </c>
      <c r="O13" s="483">
        <f t="shared" si="1"/>
        <v>7761628.293333333</v>
      </c>
      <c r="P13" s="506">
        <f>SUM(P10:P12)</f>
        <v>7800000</v>
      </c>
    </row>
    <row r="14" spans="1:16" ht="12.75">
      <c r="A14" s="485">
        <v>414311</v>
      </c>
      <c r="B14" s="483" t="s">
        <v>19</v>
      </c>
      <c r="C14" s="483">
        <v>2493217.4</v>
      </c>
      <c r="D14" s="483">
        <v>2020195</v>
      </c>
      <c r="E14" s="483"/>
      <c r="F14" s="483">
        <v>473022.4</v>
      </c>
      <c r="G14" s="483"/>
      <c r="H14" s="483"/>
      <c r="I14" s="483"/>
      <c r="J14" s="483"/>
      <c r="K14" s="483"/>
      <c r="L14" s="483"/>
      <c r="M14" s="483"/>
      <c r="N14" s="483">
        <f t="shared" si="0"/>
        <v>0.5829326320585932</v>
      </c>
      <c r="O14" s="483">
        <f t="shared" si="1"/>
        <v>3324289.8666666667</v>
      </c>
      <c r="P14" s="483">
        <v>3300000</v>
      </c>
    </row>
    <row r="15" spans="1:16" ht="12.75">
      <c r="A15" s="485">
        <v>414314</v>
      </c>
      <c r="B15" s="483" t="s">
        <v>20</v>
      </c>
      <c r="C15" s="483">
        <v>340434</v>
      </c>
      <c r="D15" s="483"/>
      <c r="E15" s="483"/>
      <c r="F15" s="483">
        <v>340434</v>
      </c>
      <c r="G15" s="483"/>
      <c r="H15" s="483"/>
      <c r="I15" s="483"/>
      <c r="J15" s="483"/>
      <c r="K15" s="483"/>
      <c r="L15" s="483"/>
      <c r="M15" s="483"/>
      <c r="N15" s="483">
        <f t="shared" si="0"/>
        <v>0.07959598214830167</v>
      </c>
      <c r="O15" s="483">
        <f t="shared" si="1"/>
        <v>453912</v>
      </c>
      <c r="P15" s="483">
        <v>450000</v>
      </c>
    </row>
    <row r="16" spans="1:16" ht="12.75">
      <c r="A16" s="488">
        <v>4143</v>
      </c>
      <c r="B16" s="489" t="s">
        <v>99</v>
      </c>
      <c r="C16" s="489">
        <v>2833651.4</v>
      </c>
      <c r="D16" s="489">
        <v>2020195</v>
      </c>
      <c r="E16" s="489"/>
      <c r="F16" s="489">
        <v>813456.4</v>
      </c>
      <c r="G16" s="489"/>
      <c r="H16" s="489"/>
      <c r="I16" s="489"/>
      <c r="J16" s="489"/>
      <c r="K16" s="489"/>
      <c r="L16" s="489"/>
      <c r="M16" s="489"/>
      <c r="N16" s="489">
        <f t="shared" si="0"/>
        <v>0.6625286142068949</v>
      </c>
      <c r="O16" s="483">
        <f t="shared" si="1"/>
        <v>3778201.8666666667</v>
      </c>
      <c r="P16" s="533">
        <f>SUM(P14:P15)</f>
        <v>3750000</v>
      </c>
    </row>
    <row r="17" spans="1:16" ht="23.25" customHeight="1">
      <c r="A17" s="485">
        <v>414411</v>
      </c>
      <c r="B17" s="484" t="s">
        <v>468</v>
      </c>
      <c r="C17" s="483">
        <v>13000</v>
      </c>
      <c r="D17" s="483"/>
      <c r="E17" s="483"/>
      <c r="F17" s="483">
        <v>13000</v>
      </c>
      <c r="G17" s="483"/>
      <c r="H17" s="483"/>
      <c r="I17" s="483"/>
      <c r="J17" s="483"/>
      <c r="K17" s="483"/>
      <c r="L17" s="483"/>
      <c r="M17" s="483"/>
      <c r="N17" s="483">
        <f t="shared" si="0"/>
        <v>0.0030394959608262447</v>
      </c>
      <c r="O17" s="483">
        <f t="shared" si="1"/>
        <v>17333.333333333332</v>
      </c>
      <c r="P17" s="483">
        <v>20000</v>
      </c>
    </row>
    <row r="18" spans="1:16" ht="19.5">
      <c r="A18" s="490">
        <v>4144</v>
      </c>
      <c r="B18" s="491" t="s">
        <v>468</v>
      </c>
      <c r="C18" s="492">
        <v>13000</v>
      </c>
      <c r="D18" s="492"/>
      <c r="E18" s="492"/>
      <c r="F18" s="492">
        <v>13000</v>
      </c>
      <c r="G18" s="492"/>
      <c r="H18" s="492"/>
      <c r="I18" s="492"/>
      <c r="J18" s="492"/>
      <c r="K18" s="492"/>
      <c r="L18" s="492"/>
      <c r="M18" s="492"/>
      <c r="N18" s="492">
        <f t="shared" si="0"/>
        <v>0.0030394959608262447</v>
      </c>
      <c r="O18" s="483">
        <f t="shared" si="1"/>
        <v>17333.333333333332</v>
      </c>
      <c r="P18" s="506">
        <f>SUM(P17)</f>
        <v>20000</v>
      </c>
    </row>
    <row r="19" spans="1:17" ht="18.75">
      <c r="A19" s="486" t="s">
        <v>469</v>
      </c>
      <c r="B19" s="493" t="s">
        <v>470</v>
      </c>
      <c r="C19" s="487">
        <v>8667872.62</v>
      </c>
      <c r="D19" s="487">
        <v>2762125.6</v>
      </c>
      <c r="E19" s="487"/>
      <c r="F19" s="487">
        <v>874629.39</v>
      </c>
      <c r="G19" s="487"/>
      <c r="H19" s="487">
        <v>5031117.63</v>
      </c>
      <c r="I19" s="487"/>
      <c r="J19" s="487"/>
      <c r="K19" s="487"/>
      <c r="L19" s="487">
        <v>7450000</v>
      </c>
      <c r="M19" s="487">
        <v>116.34728348993286</v>
      </c>
      <c r="N19" s="487">
        <f t="shared" si="0"/>
        <v>2.0266126013420305</v>
      </c>
      <c r="O19" s="483">
        <f t="shared" si="1"/>
        <v>11557163.493333332</v>
      </c>
      <c r="P19" s="507">
        <f>P18+P16+P13</f>
        <v>11570000</v>
      </c>
      <c r="Q19" s="526"/>
    </row>
    <row r="20" spans="1:17" ht="12.75">
      <c r="A20" s="486">
        <v>4151</v>
      </c>
      <c r="B20" s="487" t="s">
        <v>100</v>
      </c>
      <c r="C20" s="487">
        <v>7239090.63</v>
      </c>
      <c r="D20" s="487">
        <v>6780130.78</v>
      </c>
      <c r="E20" s="487"/>
      <c r="F20" s="487">
        <v>458959.85</v>
      </c>
      <c r="G20" s="487"/>
      <c r="H20" s="487"/>
      <c r="I20" s="487"/>
      <c r="J20" s="487"/>
      <c r="K20" s="487"/>
      <c r="L20" s="487">
        <v>7109000</v>
      </c>
      <c r="M20" s="487">
        <v>101.8299427486285</v>
      </c>
      <c r="N20" s="487">
        <f t="shared" si="0"/>
        <v>1.6925528253800088</v>
      </c>
      <c r="O20" s="483">
        <f t="shared" si="1"/>
        <v>9652120.84</v>
      </c>
      <c r="P20" s="507">
        <v>8800000</v>
      </c>
      <c r="Q20" s="145"/>
    </row>
    <row r="21" spans="1:17" ht="18.75">
      <c r="A21" s="486">
        <v>4161</v>
      </c>
      <c r="B21" s="493" t="s">
        <v>412</v>
      </c>
      <c r="C21" s="487">
        <v>6628561.18</v>
      </c>
      <c r="D21" s="487">
        <v>6628561.18</v>
      </c>
      <c r="E21" s="487"/>
      <c r="F21" s="487">
        <v>0</v>
      </c>
      <c r="G21" s="487"/>
      <c r="H21" s="487"/>
      <c r="I21" s="487"/>
      <c r="J21" s="487"/>
      <c r="K21" s="487"/>
      <c r="L21" s="487">
        <v>9328000</v>
      </c>
      <c r="M21" s="487">
        <v>71.06090458833619</v>
      </c>
      <c r="N21" s="487">
        <f t="shared" si="0"/>
        <v>1.5498065332845883</v>
      </c>
      <c r="O21" s="483">
        <f t="shared" si="1"/>
        <v>8838081.573333332</v>
      </c>
      <c r="P21" s="533">
        <v>10200000</v>
      </c>
      <c r="Q21" s="145"/>
    </row>
    <row r="22" spans="1:17" ht="12.75">
      <c r="A22" s="486">
        <v>4210</v>
      </c>
      <c r="B22" s="487" t="s">
        <v>413</v>
      </c>
      <c r="C22" s="487">
        <v>18750043.15</v>
      </c>
      <c r="D22" s="487">
        <v>15606920.6</v>
      </c>
      <c r="E22" s="487">
        <v>408387.75</v>
      </c>
      <c r="F22" s="487">
        <v>1182765.29</v>
      </c>
      <c r="G22" s="487">
        <v>1551969.51</v>
      </c>
      <c r="H22" s="487">
        <v>0</v>
      </c>
      <c r="I22" s="487">
        <v>0</v>
      </c>
      <c r="J22" s="487">
        <v>0</v>
      </c>
      <c r="K22" s="487">
        <v>0</v>
      </c>
      <c r="L22" s="487">
        <v>20300000</v>
      </c>
      <c r="M22" s="487">
        <v>92.36474458128077</v>
      </c>
      <c r="N22" s="487">
        <f t="shared" si="0"/>
        <v>4.3838984938263685</v>
      </c>
      <c r="O22" s="483">
        <f t="shared" si="1"/>
        <v>25000057.53333333</v>
      </c>
      <c r="P22" s="507">
        <f>P24+P27+P32+P40+P46+P51</f>
        <v>25100000</v>
      </c>
      <c r="Q22" s="526"/>
    </row>
    <row r="23" spans="1:16" ht="12.75">
      <c r="A23" s="485">
        <v>421111</v>
      </c>
      <c r="B23" s="483" t="s">
        <v>22</v>
      </c>
      <c r="C23" s="483">
        <v>1417678.66</v>
      </c>
      <c r="D23" s="483">
        <v>1142375.16</v>
      </c>
      <c r="E23" s="483"/>
      <c r="F23" s="483">
        <v>260571.36</v>
      </c>
      <c r="G23" s="483">
        <v>14732.14</v>
      </c>
      <c r="H23" s="483"/>
      <c r="I23" s="483"/>
      <c r="J23" s="483"/>
      <c r="K23" s="483"/>
      <c r="L23" s="483"/>
      <c r="M23" s="483"/>
      <c r="N23" s="483">
        <f t="shared" si="0"/>
        <v>0.3314637354476587</v>
      </c>
      <c r="O23" s="483">
        <f t="shared" si="1"/>
        <v>1890238.2133333331</v>
      </c>
      <c r="P23" s="483"/>
    </row>
    <row r="24" spans="1:16" ht="12.75">
      <c r="A24" s="488">
        <v>4211</v>
      </c>
      <c r="B24" s="489" t="s">
        <v>101</v>
      </c>
      <c r="C24" s="489">
        <v>1417678.66</v>
      </c>
      <c r="D24" s="489">
        <v>1142375.16</v>
      </c>
      <c r="E24" s="489">
        <v>0</v>
      </c>
      <c r="F24" s="489">
        <v>260571.36</v>
      </c>
      <c r="G24" s="489">
        <v>14732.14</v>
      </c>
      <c r="H24" s="489">
        <v>0</v>
      </c>
      <c r="I24" s="489">
        <v>0</v>
      </c>
      <c r="J24" s="489"/>
      <c r="K24" s="489"/>
      <c r="L24" s="489">
        <v>1600000</v>
      </c>
      <c r="M24" s="489">
        <v>88.60491625</v>
      </c>
      <c r="N24" s="489">
        <f t="shared" si="0"/>
        <v>0.3314637354476587</v>
      </c>
      <c r="O24" s="483">
        <f t="shared" si="1"/>
        <v>1890238.2133333331</v>
      </c>
      <c r="P24" s="506">
        <v>1900000</v>
      </c>
    </row>
    <row r="25" spans="1:16" ht="12.75">
      <c r="A25" s="485">
        <v>421211</v>
      </c>
      <c r="B25" s="483" t="s">
        <v>23</v>
      </c>
      <c r="C25" s="483">
        <v>5855709.77</v>
      </c>
      <c r="D25" s="483">
        <v>4565298.49</v>
      </c>
      <c r="E25" s="483"/>
      <c r="F25" s="483"/>
      <c r="G25" s="483">
        <v>1290411.28</v>
      </c>
      <c r="H25" s="483"/>
      <c r="I25" s="483"/>
      <c r="J25" s="483"/>
      <c r="K25" s="483"/>
      <c r="L25" s="483"/>
      <c r="M25" s="483"/>
      <c r="N25" s="483">
        <f t="shared" si="0"/>
        <v>1.36910816874506</v>
      </c>
      <c r="O25" s="483">
        <f t="shared" si="1"/>
        <v>7807613.026666666</v>
      </c>
      <c r="P25" s="483"/>
    </row>
    <row r="26" spans="1:16" ht="12.75">
      <c r="A26" s="485">
        <v>421225</v>
      </c>
      <c r="B26" s="483" t="s">
        <v>24</v>
      </c>
      <c r="C26" s="483">
        <v>5494947.84</v>
      </c>
      <c r="D26" s="483">
        <v>5494947.84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>
        <f t="shared" si="0"/>
        <v>1.2847593665100692</v>
      </c>
      <c r="O26" s="483">
        <f t="shared" si="1"/>
        <v>7326597.12</v>
      </c>
      <c r="P26" s="483"/>
    </row>
    <row r="27" spans="1:16" ht="12.75">
      <c r="A27" s="488">
        <v>4212</v>
      </c>
      <c r="B27" s="489" t="s">
        <v>102</v>
      </c>
      <c r="C27" s="489">
        <v>11350657.61</v>
      </c>
      <c r="D27" s="489">
        <v>10060246.33</v>
      </c>
      <c r="E27" s="489"/>
      <c r="F27" s="489"/>
      <c r="G27" s="489">
        <v>1290411.28</v>
      </c>
      <c r="H27" s="489"/>
      <c r="I27" s="489"/>
      <c r="J27" s="489"/>
      <c r="K27" s="489"/>
      <c r="L27" s="489">
        <v>11000000</v>
      </c>
      <c r="M27" s="489">
        <v>103.18779645454545</v>
      </c>
      <c r="N27" s="489">
        <f t="shared" si="0"/>
        <v>2.653867535255129</v>
      </c>
      <c r="O27" s="483">
        <f t="shared" si="1"/>
        <v>15134210.146666666</v>
      </c>
      <c r="P27" s="506">
        <v>15000000</v>
      </c>
    </row>
    <row r="28" spans="1:16" ht="12.75">
      <c r="A28" s="485">
        <v>421311</v>
      </c>
      <c r="B28" s="483" t="s">
        <v>25</v>
      </c>
      <c r="C28" s="483">
        <v>1786835.65</v>
      </c>
      <c r="D28" s="483">
        <v>1560910.82</v>
      </c>
      <c r="E28" s="483">
        <v>197548.91</v>
      </c>
      <c r="F28" s="483"/>
      <c r="G28" s="483">
        <v>28375.92</v>
      </c>
      <c r="H28" s="483"/>
      <c r="I28" s="483"/>
      <c r="J28" s="483"/>
      <c r="K28" s="483"/>
      <c r="L28" s="483"/>
      <c r="M28" s="483"/>
      <c r="N28" s="483">
        <f t="shared" si="0"/>
        <v>0.4177753646796413</v>
      </c>
      <c r="O28" s="483">
        <f t="shared" si="1"/>
        <v>2382447.533333333</v>
      </c>
      <c r="P28" s="483"/>
    </row>
    <row r="29" spans="1:16" ht="12.75">
      <c r="A29" s="485">
        <v>421321</v>
      </c>
      <c r="B29" s="483" t="s">
        <v>471</v>
      </c>
      <c r="C29" s="483">
        <v>125730</v>
      </c>
      <c r="D29" s="483">
        <v>125730</v>
      </c>
      <c r="E29" s="483"/>
      <c r="F29" s="483"/>
      <c r="G29" s="483"/>
      <c r="H29" s="483"/>
      <c r="I29" s="483"/>
      <c r="J29" s="483"/>
      <c r="K29" s="483"/>
      <c r="L29" s="483"/>
      <c r="M29" s="483"/>
      <c r="N29" s="483">
        <f t="shared" si="0"/>
        <v>0.029396602088821826</v>
      </c>
      <c r="O29" s="483">
        <f t="shared" si="1"/>
        <v>167640</v>
      </c>
      <c r="P29" s="483"/>
    </row>
    <row r="30" spans="1:16" ht="12.75">
      <c r="A30" s="485">
        <v>421324</v>
      </c>
      <c r="B30" s="483" t="s">
        <v>26</v>
      </c>
      <c r="C30" s="483">
        <v>1002638.21</v>
      </c>
      <c r="D30" s="483">
        <v>704593</v>
      </c>
      <c r="E30" s="483">
        <v>89586.85</v>
      </c>
      <c r="F30" s="483"/>
      <c r="G30" s="483">
        <v>208458.36</v>
      </c>
      <c r="H30" s="483"/>
      <c r="I30" s="483"/>
      <c r="J30" s="483"/>
      <c r="K30" s="483"/>
      <c r="L30" s="483"/>
      <c r="M30" s="483"/>
      <c r="N30" s="483">
        <f t="shared" si="0"/>
        <v>0.2344242145742351</v>
      </c>
      <c r="O30" s="483">
        <f t="shared" si="1"/>
        <v>1336850.9466666665</v>
      </c>
      <c r="P30" s="483"/>
    </row>
    <row r="31" spans="1:16" ht="12.75">
      <c r="A31" s="485">
        <v>421325</v>
      </c>
      <c r="B31" s="483" t="s">
        <v>472</v>
      </c>
      <c r="C31" s="483">
        <v>4500</v>
      </c>
      <c r="D31" s="483">
        <v>4500</v>
      </c>
      <c r="E31" s="483"/>
      <c r="F31" s="483"/>
      <c r="G31" s="483"/>
      <c r="H31" s="483"/>
      <c r="I31" s="483"/>
      <c r="J31" s="483"/>
      <c r="K31" s="483"/>
      <c r="L31" s="483"/>
      <c r="M31" s="483"/>
      <c r="N31" s="483">
        <f t="shared" si="0"/>
        <v>0.0010521332172090847</v>
      </c>
      <c r="O31" s="483">
        <f t="shared" si="1"/>
        <v>6000</v>
      </c>
      <c r="P31" s="483"/>
    </row>
    <row r="32" spans="1:16" ht="12.75">
      <c r="A32" s="488">
        <v>4213</v>
      </c>
      <c r="B32" s="489" t="s">
        <v>103</v>
      </c>
      <c r="C32" s="489">
        <v>2919703.86</v>
      </c>
      <c r="D32" s="489">
        <v>2395733.8200000003</v>
      </c>
      <c r="E32" s="489">
        <v>287135.76</v>
      </c>
      <c r="F32" s="489">
        <v>0</v>
      </c>
      <c r="G32" s="489">
        <v>236834.27999999997</v>
      </c>
      <c r="H32" s="489"/>
      <c r="I32" s="489"/>
      <c r="J32" s="489"/>
      <c r="K32" s="489"/>
      <c r="L32" s="489">
        <v>3700000</v>
      </c>
      <c r="M32" s="489">
        <v>78.91091513513514</v>
      </c>
      <c r="N32" s="489">
        <f t="shared" si="0"/>
        <v>0.6826483145599074</v>
      </c>
      <c r="O32" s="483">
        <f t="shared" si="1"/>
        <v>3892938.48</v>
      </c>
      <c r="P32" s="506">
        <v>3900000</v>
      </c>
    </row>
    <row r="33" spans="1:16" ht="12.75">
      <c r="A33" s="485">
        <v>421411</v>
      </c>
      <c r="B33" s="483" t="s">
        <v>27</v>
      </c>
      <c r="C33" s="483">
        <v>515041.09</v>
      </c>
      <c r="D33" s="483">
        <v>505049.28</v>
      </c>
      <c r="E33" s="483"/>
      <c r="F33" s="483"/>
      <c r="G33" s="483">
        <v>9991.81</v>
      </c>
      <c r="H33" s="483"/>
      <c r="I33" s="483"/>
      <c r="J33" s="483"/>
      <c r="K33" s="483"/>
      <c r="L33" s="483"/>
      <c r="M33" s="483"/>
      <c r="N33" s="483">
        <f t="shared" si="0"/>
        <v>0.12042040867034973</v>
      </c>
      <c r="O33" s="483">
        <f t="shared" si="1"/>
        <v>686721.4533333334</v>
      </c>
      <c r="P33" s="483"/>
    </row>
    <row r="34" spans="1:16" ht="12.75">
      <c r="A34" s="485">
        <v>421412</v>
      </c>
      <c r="B34" s="483" t="s">
        <v>28</v>
      </c>
      <c r="C34" s="483">
        <v>53100</v>
      </c>
      <c r="D34" s="483"/>
      <c r="E34" s="483"/>
      <c r="F34" s="483">
        <v>53100</v>
      </c>
      <c r="G34" s="483"/>
      <c r="H34" s="483"/>
      <c r="I34" s="483"/>
      <c r="J34" s="483"/>
      <c r="K34" s="483"/>
      <c r="L34" s="483"/>
      <c r="M34" s="483"/>
      <c r="N34" s="483">
        <f t="shared" si="0"/>
        <v>0.0124151719630672</v>
      </c>
      <c r="O34" s="483">
        <f t="shared" si="1"/>
        <v>70800</v>
      </c>
      <c r="P34" s="483"/>
    </row>
    <row r="35" spans="1:16" ht="12.75">
      <c r="A35" s="485">
        <v>421414</v>
      </c>
      <c r="B35" s="483" t="s">
        <v>29</v>
      </c>
      <c r="C35" s="483">
        <v>851740.23</v>
      </c>
      <c r="D35" s="483"/>
      <c r="E35" s="483"/>
      <c r="F35" s="483">
        <v>851740.23</v>
      </c>
      <c r="G35" s="483"/>
      <c r="H35" s="483"/>
      <c r="I35" s="483"/>
      <c r="J35" s="483"/>
      <c r="K35" s="483"/>
      <c r="L35" s="483"/>
      <c r="M35" s="483"/>
      <c r="N35" s="483">
        <f t="shared" si="0"/>
        <v>0.19914315298140128</v>
      </c>
      <c r="O35" s="483">
        <f t="shared" si="1"/>
        <v>1135653.64</v>
      </c>
      <c r="P35" s="483"/>
    </row>
    <row r="36" spans="1:16" ht="39">
      <c r="A36" s="483" t="s">
        <v>0</v>
      </c>
      <c r="B36" s="483" t="s">
        <v>1</v>
      </c>
      <c r="C36" s="483" t="s">
        <v>2</v>
      </c>
      <c r="D36" s="483" t="s">
        <v>403</v>
      </c>
      <c r="E36" s="483" t="s">
        <v>4</v>
      </c>
      <c r="F36" s="484" t="s">
        <v>457</v>
      </c>
      <c r="G36" s="483" t="s">
        <v>6</v>
      </c>
      <c r="H36" s="484" t="s">
        <v>458</v>
      </c>
      <c r="I36" s="483" t="s">
        <v>191</v>
      </c>
      <c r="J36" s="483" t="s">
        <v>459</v>
      </c>
      <c r="K36" s="484" t="s">
        <v>460</v>
      </c>
      <c r="L36" s="483" t="s">
        <v>201</v>
      </c>
      <c r="M36" s="484" t="s">
        <v>461</v>
      </c>
      <c r="N36" s="484" t="s">
        <v>462</v>
      </c>
      <c r="O36" s="483" t="e">
        <f t="shared" si="1"/>
        <v>#VALUE!</v>
      </c>
      <c r="P36" s="483"/>
    </row>
    <row r="37" spans="1:16" ht="12.75">
      <c r="A37" s="485">
        <v>421419</v>
      </c>
      <c r="B37" s="483" t="s">
        <v>473</v>
      </c>
      <c r="C37" s="483">
        <v>7698.7</v>
      </c>
      <c r="D37" s="483"/>
      <c r="E37" s="483"/>
      <c r="F37" s="483">
        <v>7698.7</v>
      </c>
      <c r="G37" s="483"/>
      <c r="H37" s="483"/>
      <c r="I37" s="483"/>
      <c r="J37" s="483"/>
      <c r="K37" s="483"/>
      <c r="L37" s="483"/>
      <c r="M37" s="483"/>
      <c r="N37" s="483">
        <f t="shared" si="0"/>
        <v>0.0018000128887394624</v>
      </c>
      <c r="O37" s="483">
        <f t="shared" si="1"/>
        <v>10264.933333333332</v>
      </c>
      <c r="P37" s="483"/>
    </row>
    <row r="38" spans="1:16" ht="12.75">
      <c r="A38" s="485">
        <v>421421</v>
      </c>
      <c r="B38" s="483" t="s">
        <v>224</v>
      </c>
      <c r="C38" s="483">
        <v>17000</v>
      </c>
      <c r="D38" s="483">
        <v>11000</v>
      </c>
      <c r="E38" s="483"/>
      <c r="F38" s="483">
        <v>6000</v>
      </c>
      <c r="G38" s="483"/>
      <c r="H38" s="483"/>
      <c r="I38" s="483"/>
      <c r="J38" s="483"/>
      <c r="K38" s="483"/>
      <c r="L38" s="483"/>
      <c r="M38" s="483"/>
      <c r="N38" s="483">
        <f t="shared" si="0"/>
        <v>0.00397472548723432</v>
      </c>
      <c r="O38" s="483">
        <f t="shared" si="1"/>
        <v>22666.666666666668</v>
      </c>
      <c r="P38" s="483"/>
    </row>
    <row r="39" spans="1:16" ht="12.75">
      <c r="A39" s="485">
        <v>421422</v>
      </c>
      <c r="B39" s="483" t="s">
        <v>31</v>
      </c>
      <c r="C39" s="483">
        <v>176692</v>
      </c>
      <c r="D39" s="483">
        <v>173037</v>
      </c>
      <c r="E39" s="483"/>
      <c r="F39" s="483">
        <v>3655</v>
      </c>
      <c r="G39" s="483"/>
      <c r="H39" s="483"/>
      <c r="I39" s="483"/>
      <c r="J39" s="483"/>
      <c r="K39" s="483"/>
      <c r="L39" s="483"/>
      <c r="M39" s="483"/>
      <c r="N39" s="483">
        <f t="shared" si="0"/>
        <v>0.04131189387002391</v>
      </c>
      <c r="O39" s="483">
        <f t="shared" si="1"/>
        <v>235589.33333333334</v>
      </c>
      <c r="P39" s="483"/>
    </row>
    <row r="40" spans="1:16" ht="12.75">
      <c r="A40" s="488">
        <v>4214</v>
      </c>
      <c r="B40" s="489" t="s">
        <v>104</v>
      </c>
      <c r="C40" s="489">
        <v>1621272.02</v>
      </c>
      <c r="D40" s="489">
        <v>689086.28</v>
      </c>
      <c r="E40" s="489"/>
      <c r="F40" s="489">
        <v>922193.9299999999</v>
      </c>
      <c r="G40" s="489">
        <v>9991.81</v>
      </c>
      <c r="H40" s="489"/>
      <c r="I40" s="489"/>
      <c r="J40" s="489"/>
      <c r="K40" s="489"/>
      <c r="L40" s="489">
        <v>1400000</v>
      </c>
      <c r="M40" s="489">
        <v>115.80514428571429</v>
      </c>
      <c r="N40" s="489">
        <f t="shared" si="0"/>
        <v>0.3790653658608159</v>
      </c>
      <c r="O40" s="483">
        <f t="shared" si="1"/>
        <v>2161696.026666667</v>
      </c>
      <c r="P40" s="506">
        <v>2000000</v>
      </c>
    </row>
    <row r="41" spans="1:16" ht="12.75">
      <c r="A41" s="485">
        <v>421511</v>
      </c>
      <c r="B41" s="483" t="s">
        <v>474</v>
      </c>
      <c r="C41" s="483">
        <v>95235.07</v>
      </c>
      <c r="D41" s="483">
        <v>81630.06</v>
      </c>
      <c r="E41" s="483">
        <v>13605.01</v>
      </c>
      <c r="F41" s="483"/>
      <c r="G41" s="483"/>
      <c r="H41" s="483"/>
      <c r="I41" s="483"/>
      <c r="J41" s="483"/>
      <c r="K41" s="483"/>
      <c r="L41" s="483"/>
      <c r="M41" s="483"/>
      <c r="N41" s="483">
        <f t="shared" si="0"/>
        <v>0.022266662353384974</v>
      </c>
      <c r="O41" s="483">
        <f t="shared" si="1"/>
        <v>126980.09333333334</v>
      </c>
      <c r="P41" s="483"/>
    </row>
    <row r="42" spans="1:16" ht="12.75">
      <c r="A42" s="485">
        <v>421512</v>
      </c>
      <c r="B42" s="483" t="s">
        <v>32</v>
      </c>
      <c r="C42" s="483">
        <v>201308</v>
      </c>
      <c r="D42" s="483">
        <v>201308</v>
      </c>
      <c r="E42" s="483"/>
      <c r="F42" s="483"/>
      <c r="G42" s="483"/>
      <c r="H42" s="483"/>
      <c r="I42" s="483"/>
      <c r="J42" s="483"/>
      <c r="K42" s="483"/>
      <c r="L42" s="483"/>
      <c r="M42" s="483"/>
      <c r="N42" s="483">
        <f t="shared" si="0"/>
        <v>0.047067296375539205</v>
      </c>
      <c r="O42" s="483">
        <f t="shared" si="1"/>
        <v>268410.6666666667</v>
      </c>
      <c r="P42" s="483"/>
    </row>
    <row r="43" spans="1:16" ht="12.75">
      <c r="A43" s="485">
        <v>421513</v>
      </c>
      <c r="B43" s="483" t="s">
        <v>33</v>
      </c>
      <c r="C43" s="483">
        <v>649111.37</v>
      </c>
      <c r="D43" s="483">
        <v>587981.16</v>
      </c>
      <c r="E43" s="483">
        <v>61130.21</v>
      </c>
      <c r="F43" s="483"/>
      <c r="G43" s="483"/>
      <c r="H43" s="483"/>
      <c r="I43" s="483"/>
      <c r="J43" s="483"/>
      <c r="K43" s="483"/>
      <c r="L43" s="483"/>
      <c r="M43" s="483"/>
      <c r="N43" s="483">
        <f t="shared" si="0"/>
        <v>0.15176702978779924</v>
      </c>
      <c r="O43" s="483">
        <f t="shared" si="1"/>
        <v>865481.8266666667</v>
      </c>
      <c r="P43" s="483"/>
    </row>
    <row r="44" spans="1:16" ht="12.75">
      <c r="A44" s="485">
        <v>421519</v>
      </c>
      <c r="B44" s="483" t="s">
        <v>34</v>
      </c>
      <c r="C44" s="483">
        <v>104000</v>
      </c>
      <c r="D44" s="483">
        <v>104000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>
        <f t="shared" si="0"/>
        <v>0.024315967686609957</v>
      </c>
      <c r="O44" s="483">
        <f t="shared" si="1"/>
        <v>138666.66666666666</v>
      </c>
      <c r="P44" s="483"/>
    </row>
    <row r="45" spans="1:16" ht="12.75">
      <c r="A45" s="485">
        <v>421521</v>
      </c>
      <c r="B45" s="483" t="s">
        <v>35</v>
      </c>
      <c r="C45" s="483">
        <v>391076.56</v>
      </c>
      <c r="D45" s="483">
        <v>344559.79</v>
      </c>
      <c r="E45" s="483">
        <v>46516.77</v>
      </c>
      <c r="F45" s="483"/>
      <c r="G45" s="483"/>
      <c r="H45" s="483"/>
      <c r="I45" s="483"/>
      <c r="J45" s="483"/>
      <c r="K45" s="483"/>
      <c r="L45" s="483"/>
      <c r="M45" s="483"/>
      <c r="N45" s="483">
        <f t="shared" si="0"/>
        <v>0.09143658649952481</v>
      </c>
      <c r="O45" s="483">
        <f t="shared" si="1"/>
        <v>521435.41333333333</v>
      </c>
      <c r="P45" s="483"/>
    </row>
    <row r="46" spans="1:16" ht="12.75">
      <c r="A46" s="488">
        <v>4215</v>
      </c>
      <c r="B46" s="489" t="s">
        <v>169</v>
      </c>
      <c r="C46" s="489">
        <v>1440731</v>
      </c>
      <c r="D46" s="489">
        <v>1319479.01</v>
      </c>
      <c r="E46" s="489">
        <v>121251.98999999999</v>
      </c>
      <c r="F46" s="489">
        <v>0</v>
      </c>
      <c r="G46" s="489"/>
      <c r="H46" s="489"/>
      <c r="I46" s="489"/>
      <c r="J46" s="489"/>
      <c r="K46" s="489"/>
      <c r="L46" s="489">
        <v>2600000</v>
      </c>
      <c r="M46" s="489">
        <v>55.41273076923077</v>
      </c>
      <c r="N46" s="489">
        <f t="shared" si="0"/>
        <v>0.33685354270285817</v>
      </c>
      <c r="O46" s="483">
        <f t="shared" si="1"/>
        <v>1920974.6666666667</v>
      </c>
      <c r="P46" s="506">
        <v>2000000</v>
      </c>
    </row>
    <row r="47" spans="1:16" ht="12.75">
      <c r="A47" s="485">
        <v>422111</v>
      </c>
      <c r="B47" s="483" t="s">
        <v>36</v>
      </c>
      <c r="C47" s="483">
        <v>24042</v>
      </c>
      <c r="D47" s="483"/>
      <c r="E47" s="483"/>
      <c r="F47" s="483">
        <v>22183</v>
      </c>
      <c r="G47" s="483">
        <v>1859</v>
      </c>
      <c r="H47" s="483"/>
      <c r="I47" s="483"/>
      <c r="J47" s="483"/>
      <c r="K47" s="483"/>
      <c r="L47" s="483"/>
      <c r="M47" s="483"/>
      <c r="N47" s="483">
        <f t="shared" si="0"/>
        <v>0.005621197068475737</v>
      </c>
      <c r="O47" s="483">
        <f t="shared" si="1"/>
        <v>32056</v>
      </c>
      <c r="P47" s="483"/>
    </row>
    <row r="48" spans="1:16" ht="12.75">
      <c r="A48" s="485">
        <v>422121</v>
      </c>
      <c r="B48" s="483" t="s">
        <v>37</v>
      </c>
      <c r="C48" s="483">
        <v>118265.08</v>
      </c>
      <c r="D48" s="483"/>
      <c r="E48" s="483"/>
      <c r="F48" s="483">
        <v>113793.49</v>
      </c>
      <c r="G48" s="483">
        <v>4471.59</v>
      </c>
      <c r="H48" s="483"/>
      <c r="I48" s="483"/>
      <c r="J48" s="483"/>
      <c r="K48" s="483"/>
      <c r="L48" s="483"/>
      <c r="M48" s="483"/>
      <c r="N48" s="483">
        <f t="shared" si="0"/>
        <v>0.027651248689753286</v>
      </c>
      <c r="O48" s="483">
        <f t="shared" si="1"/>
        <v>157686.77333333335</v>
      </c>
      <c r="P48" s="483"/>
    </row>
    <row r="49" spans="1:16" ht="12.75">
      <c r="A49" s="485">
        <v>422194</v>
      </c>
      <c r="B49" s="483" t="s">
        <v>38</v>
      </c>
      <c r="C49" s="483">
        <v>20057</v>
      </c>
      <c r="D49" s="483"/>
      <c r="E49" s="483"/>
      <c r="F49" s="483">
        <v>20057</v>
      </c>
      <c r="G49" s="483"/>
      <c r="H49" s="483"/>
      <c r="I49" s="483"/>
      <c r="J49" s="483"/>
      <c r="K49" s="483"/>
      <c r="L49" s="483"/>
      <c r="M49" s="483"/>
      <c r="N49" s="483">
        <f t="shared" si="0"/>
        <v>0.004689474652791691</v>
      </c>
      <c r="O49" s="483">
        <f t="shared" si="1"/>
        <v>26742.666666666668</v>
      </c>
      <c r="P49" s="483"/>
    </row>
    <row r="50" spans="1:16" ht="12.75">
      <c r="A50" s="485">
        <v>422199</v>
      </c>
      <c r="B50" s="483" t="s">
        <v>39</v>
      </c>
      <c r="C50" s="483">
        <v>22725</v>
      </c>
      <c r="D50" s="483"/>
      <c r="E50" s="483"/>
      <c r="F50" s="483">
        <v>22725</v>
      </c>
      <c r="G50" s="483"/>
      <c r="H50" s="483"/>
      <c r="I50" s="483"/>
      <c r="J50" s="483"/>
      <c r="K50" s="483"/>
      <c r="L50" s="483"/>
      <c r="M50" s="483"/>
      <c r="N50" s="483">
        <f t="shared" si="0"/>
        <v>0.005313272746905877</v>
      </c>
      <c r="O50" s="483">
        <f t="shared" si="1"/>
        <v>30300</v>
      </c>
      <c r="P50" s="483"/>
    </row>
    <row r="51" spans="1:16" ht="12.75">
      <c r="A51" s="486">
        <v>4220</v>
      </c>
      <c r="B51" s="487" t="s">
        <v>414</v>
      </c>
      <c r="C51" s="487">
        <v>185089.08000000002</v>
      </c>
      <c r="D51" s="487">
        <v>0</v>
      </c>
      <c r="E51" s="487">
        <v>0</v>
      </c>
      <c r="F51" s="487">
        <v>178758.49</v>
      </c>
      <c r="G51" s="487">
        <v>6330.59</v>
      </c>
      <c r="H51" s="487">
        <v>0</v>
      </c>
      <c r="I51" s="487">
        <v>0</v>
      </c>
      <c r="J51" s="487">
        <v>0</v>
      </c>
      <c r="K51" s="487">
        <v>0</v>
      </c>
      <c r="L51" s="487">
        <v>300000</v>
      </c>
      <c r="M51" s="487">
        <v>61.69636</v>
      </c>
      <c r="N51" s="487">
        <f t="shared" si="0"/>
        <v>0.04327519315792659</v>
      </c>
      <c r="O51" s="483">
        <f t="shared" si="1"/>
        <v>246785.44000000003</v>
      </c>
      <c r="P51" s="506">
        <v>300000</v>
      </c>
    </row>
    <row r="52" spans="1:17" ht="12.75">
      <c r="A52" s="486">
        <v>4230</v>
      </c>
      <c r="B52" s="487" t="s">
        <v>415</v>
      </c>
      <c r="C52" s="487">
        <v>7437047.880000001</v>
      </c>
      <c r="D52" s="487">
        <v>1127084.0999999999</v>
      </c>
      <c r="E52" s="487">
        <v>587036.03</v>
      </c>
      <c r="F52" s="487">
        <v>5370927.75</v>
      </c>
      <c r="G52" s="487">
        <v>352000</v>
      </c>
      <c r="H52" s="487">
        <v>0</v>
      </c>
      <c r="I52" s="487">
        <v>0</v>
      </c>
      <c r="J52" s="487">
        <v>0</v>
      </c>
      <c r="K52" s="487">
        <v>0</v>
      </c>
      <c r="L52" s="487">
        <v>9600000</v>
      </c>
      <c r="M52" s="487">
        <v>77.46924875</v>
      </c>
      <c r="N52" s="487">
        <f t="shared" si="0"/>
        <v>1.7388366916716453</v>
      </c>
      <c r="O52" s="483">
        <f t="shared" si="1"/>
        <v>9916063.840000002</v>
      </c>
      <c r="P52" s="507">
        <f>P55+P60+P65+P69+P71+P74+P76</f>
        <v>9950000</v>
      </c>
      <c r="Q52" s="526"/>
    </row>
    <row r="53" spans="1:16" ht="12.75">
      <c r="A53" s="485">
        <v>423221</v>
      </c>
      <c r="B53" s="483" t="s">
        <v>475</v>
      </c>
      <c r="C53" s="483">
        <v>5280</v>
      </c>
      <c r="D53" s="483">
        <v>5280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>
        <f t="shared" si="0"/>
        <v>0.0012345029748586595</v>
      </c>
      <c r="O53" s="483">
        <f t="shared" si="1"/>
        <v>7040</v>
      </c>
      <c r="P53" s="483"/>
    </row>
    <row r="54" spans="1:16" ht="12.75">
      <c r="A54" s="485">
        <v>423291</v>
      </c>
      <c r="B54" s="483" t="s">
        <v>40</v>
      </c>
      <c r="C54" s="483">
        <v>432618</v>
      </c>
      <c r="D54" s="483">
        <v>249018</v>
      </c>
      <c r="E54" s="483"/>
      <c r="F54" s="483">
        <v>183600</v>
      </c>
      <c r="G54" s="483"/>
      <c r="H54" s="483"/>
      <c r="I54" s="483"/>
      <c r="J54" s="483"/>
      <c r="K54" s="483"/>
      <c r="L54" s="483"/>
      <c r="M54" s="483"/>
      <c r="N54" s="483">
        <f t="shared" si="0"/>
        <v>0.10114928181390218</v>
      </c>
      <c r="O54" s="483">
        <f t="shared" si="1"/>
        <v>576824</v>
      </c>
      <c r="P54" s="483"/>
    </row>
    <row r="55" spans="1:16" ht="12.75">
      <c r="A55" s="488">
        <v>4232</v>
      </c>
      <c r="B55" s="489" t="s">
        <v>106</v>
      </c>
      <c r="C55" s="489">
        <v>437898</v>
      </c>
      <c r="D55" s="489">
        <v>254298</v>
      </c>
      <c r="E55" s="489"/>
      <c r="F55" s="489">
        <v>183600</v>
      </c>
      <c r="G55" s="489"/>
      <c r="H55" s="489"/>
      <c r="I55" s="489"/>
      <c r="J55" s="489"/>
      <c r="K55" s="489"/>
      <c r="L55" s="489">
        <v>420000</v>
      </c>
      <c r="M55" s="489">
        <v>104.26142857142857</v>
      </c>
      <c r="N55" s="489">
        <f t="shared" si="0"/>
        <v>0.10238378478876084</v>
      </c>
      <c r="O55" s="483">
        <f t="shared" si="1"/>
        <v>583864</v>
      </c>
      <c r="P55" s="506">
        <v>600000</v>
      </c>
    </row>
    <row r="56" spans="1:16" ht="12.75">
      <c r="A56" s="485">
        <v>423311</v>
      </c>
      <c r="B56" s="483" t="s">
        <v>42</v>
      </c>
      <c r="C56" s="483">
        <v>295408</v>
      </c>
      <c r="D56" s="483"/>
      <c r="E56" s="483"/>
      <c r="F56" s="483">
        <v>295408</v>
      </c>
      <c r="G56" s="483"/>
      <c r="H56" s="483"/>
      <c r="I56" s="483"/>
      <c r="J56" s="483"/>
      <c r="K56" s="483"/>
      <c r="L56" s="483"/>
      <c r="M56" s="483"/>
      <c r="N56" s="483">
        <f t="shared" si="0"/>
        <v>0.06906857098428917</v>
      </c>
      <c r="O56" s="483">
        <f t="shared" si="1"/>
        <v>393877.3333333333</v>
      </c>
      <c r="P56" s="483"/>
    </row>
    <row r="57" spans="1:16" ht="12.75">
      <c r="A57" s="485">
        <v>423321</v>
      </c>
      <c r="B57" s="483" t="s">
        <v>41</v>
      </c>
      <c r="C57" s="483">
        <v>124405</v>
      </c>
      <c r="D57" s="483"/>
      <c r="E57" s="483"/>
      <c r="F57" s="483">
        <v>124405</v>
      </c>
      <c r="G57" s="483"/>
      <c r="H57" s="483"/>
      <c r="I57" s="483"/>
      <c r="J57" s="483"/>
      <c r="K57" s="483"/>
      <c r="L57" s="483"/>
      <c r="M57" s="483"/>
      <c r="N57" s="483">
        <f t="shared" si="0"/>
        <v>0.029086807308199153</v>
      </c>
      <c r="O57" s="483">
        <f t="shared" si="1"/>
        <v>165873.33333333334</v>
      </c>
      <c r="P57" s="483"/>
    </row>
    <row r="58" spans="1:16" ht="12.75">
      <c r="A58" s="485">
        <v>423391</v>
      </c>
      <c r="B58" s="483" t="s">
        <v>476</v>
      </c>
      <c r="C58" s="483">
        <v>265539.31</v>
      </c>
      <c r="D58" s="483"/>
      <c r="E58" s="483"/>
      <c r="F58" s="483">
        <v>265539.31</v>
      </c>
      <c r="G58" s="483"/>
      <c r="H58" s="483"/>
      <c r="I58" s="483"/>
      <c r="J58" s="483"/>
      <c r="K58" s="483"/>
      <c r="L58" s="483"/>
      <c r="M58" s="483"/>
      <c r="N58" s="483">
        <f t="shared" si="0"/>
        <v>0.062085050783506776</v>
      </c>
      <c r="O58" s="483">
        <f t="shared" si="1"/>
        <v>354052.41333333333</v>
      </c>
      <c r="P58" s="483"/>
    </row>
    <row r="59" spans="1:16" ht="12.75">
      <c r="A59" s="485">
        <v>423399</v>
      </c>
      <c r="B59" s="483" t="s">
        <v>477</v>
      </c>
      <c r="C59" s="483">
        <v>92562.74</v>
      </c>
      <c r="D59" s="483"/>
      <c r="E59" s="483"/>
      <c r="F59" s="483">
        <v>92562.74</v>
      </c>
      <c r="G59" s="483"/>
      <c r="H59" s="483"/>
      <c r="I59" s="483"/>
      <c r="J59" s="483"/>
      <c r="K59" s="483"/>
      <c r="L59" s="483"/>
      <c r="M59" s="483"/>
      <c r="N59" s="483">
        <f t="shared" si="0"/>
        <v>0.021641851873308453</v>
      </c>
      <c r="O59" s="483">
        <f t="shared" si="1"/>
        <v>123416.98666666668</v>
      </c>
      <c r="P59" s="483"/>
    </row>
    <row r="60" spans="1:16" ht="12.75">
      <c r="A60" s="488">
        <v>4233</v>
      </c>
      <c r="B60" s="489" t="s">
        <v>107</v>
      </c>
      <c r="C60" s="489">
        <v>777915.05</v>
      </c>
      <c r="D60" s="489"/>
      <c r="E60" s="489"/>
      <c r="F60" s="489">
        <v>777915.05</v>
      </c>
      <c r="G60" s="489"/>
      <c r="H60" s="489"/>
      <c r="I60" s="489"/>
      <c r="J60" s="489"/>
      <c r="K60" s="489"/>
      <c r="L60" s="489">
        <v>1000000</v>
      </c>
      <c r="M60" s="489">
        <v>77.791505</v>
      </c>
      <c r="N60" s="489">
        <f t="shared" si="0"/>
        <v>0.18188228094930356</v>
      </c>
      <c r="O60" s="483">
        <f t="shared" si="1"/>
        <v>1037220.0666666668</v>
      </c>
      <c r="P60" s="506">
        <v>1000000</v>
      </c>
    </row>
    <row r="61" spans="1:16" ht="12.75">
      <c r="A61" s="485">
        <v>423421</v>
      </c>
      <c r="B61" s="483" t="s">
        <v>43</v>
      </c>
      <c r="C61" s="483">
        <v>126809.07</v>
      </c>
      <c r="D61" s="483"/>
      <c r="E61" s="483"/>
      <c r="F61" s="483">
        <v>126809.07</v>
      </c>
      <c r="G61" s="483"/>
      <c r="H61" s="483"/>
      <c r="I61" s="483"/>
      <c r="J61" s="483"/>
      <c r="K61" s="483"/>
      <c r="L61" s="483"/>
      <c r="M61" s="483"/>
      <c r="N61" s="483">
        <f t="shared" si="0"/>
        <v>0.029648896620087118</v>
      </c>
      <c r="O61" s="483">
        <f t="shared" si="1"/>
        <v>169078.76</v>
      </c>
      <c r="P61" s="483"/>
    </row>
    <row r="62" spans="1:16" ht="12.75">
      <c r="A62" s="485">
        <v>423431</v>
      </c>
      <c r="B62" s="483" t="s">
        <v>478</v>
      </c>
      <c r="C62" s="483">
        <v>4900</v>
      </c>
      <c r="D62" s="483"/>
      <c r="E62" s="483"/>
      <c r="F62" s="483">
        <v>4900</v>
      </c>
      <c r="G62" s="483"/>
      <c r="H62" s="483"/>
      <c r="I62" s="483"/>
      <c r="J62" s="483"/>
      <c r="K62" s="483"/>
      <c r="L62" s="483"/>
      <c r="M62" s="483"/>
      <c r="N62" s="483">
        <f t="shared" si="0"/>
        <v>0.0011456561698498923</v>
      </c>
      <c r="O62" s="483">
        <f t="shared" si="1"/>
        <v>6533.333333333333</v>
      </c>
      <c r="P62" s="483"/>
    </row>
    <row r="63" spans="1:16" ht="12.75">
      <c r="A63" s="485">
        <v>423432</v>
      </c>
      <c r="B63" s="483" t="s">
        <v>44</v>
      </c>
      <c r="C63" s="483">
        <v>263099.14</v>
      </c>
      <c r="D63" s="483"/>
      <c r="E63" s="483"/>
      <c r="F63" s="483">
        <v>263099.14</v>
      </c>
      <c r="G63" s="483"/>
      <c r="H63" s="483"/>
      <c r="I63" s="483"/>
      <c r="J63" s="483"/>
      <c r="K63" s="483"/>
      <c r="L63" s="483"/>
      <c r="M63" s="483"/>
      <c r="N63" s="483">
        <f t="shared" si="0"/>
        <v>0.061514521025142974</v>
      </c>
      <c r="O63" s="483">
        <f t="shared" si="1"/>
        <v>350798.85333333333</v>
      </c>
      <c r="P63" s="483"/>
    </row>
    <row r="64" spans="1:16" ht="12.75">
      <c r="A64" s="485">
        <v>423449</v>
      </c>
      <c r="B64" s="483" t="s">
        <v>479</v>
      </c>
      <c r="C64" s="483">
        <v>30000</v>
      </c>
      <c r="D64" s="483"/>
      <c r="E64" s="483"/>
      <c r="F64" s="483">
        <v>30000</v>
      </c>
      <c r="G64" s="483"/>
      <c r="H64" s="483"/>
      <c r="I64" s="483"/>
      <c r="J64" s="483"/>
      <c r="K64" s="483"/>
      <c r="L64" s="483"/>
      <c r="M64" s="483"/>
      <c r="N64" s="483">
        <f t="shared" si="0"/>
        <v>0.0070142214480605645</v>
      </c>
      <c r="O64" s="483">
        <f t="shared" si="1"/>
        <v>40000</v>
      </c>
      <c r="P64" s="483"/>
    </row>
    <row r="65" spans="1:16" ht="12.75">
      <c r="A65" s="488">
        <v>4234</v>
      </c>
      <c r="B65" s="489" t="s">
        <v>108</v>
      </c>
      <c r="C65" s="489">
        <v>424808.21</v>
      </c>
      <c r="D65" s="489"/>
      <c r="E65" s="489"/>
      <c r="F65" s="489">
        <v>424808.21</v>
      </c>
      <c r="G65" s="489"/>
      <c r="H65" s="489"/>
      <c r="I65" s="489"/>
      <c r="J65" s="489"/>
      <c r="K65" s="489"/>
      <c r="L65" s="489">
        <v>600000</v>
      </c>
      <c r="M65" s="489">
        <v>70.80136833333333</v>
      </c>
      <c r="N65" s="489">
        <f t="shared" si="0"/>
        <v>0.09932329526314054</v>
      </c>
      <c r="O65" s="483">
        <f t="shared" si="1"/>
        <v>566410.9466666667</v>
      </c>
      <c r="P65" s="506">
        <v>600000</v>
      </c>
    </row>
    <row r="66" spans="1:16" ht="12.75">
      <c r="A66" s="485">
        <v>423539</v>
      </c>
      <c r="B66" s="483" t="s">
        <v>131</v>
      </c>
      <c r="C66" s="483">
        <v>44500</v>
      </c>
      <c r="D66" s="483"/>
      <c r="E66" s="483"/>
      <c r="F66" s="483">
        <v>44500</v>
      </c>
      <c r="G66" s="483"/>
      <c r="H66" s="483"/>
      <c r="I66" s="483"/>
      <c r="J66" s="483"/>
      <c r="K66" s="483"/>
      <c r="L66" s="483"/>
      <c r="M66" s="483"/>
      <c r="N66" s="483">
        <f t="shared" si="0"/>
        <v>0.010404428481289838</v>
      </c>
      <c r="O66" s="483">
        <f t="shared" si="1"/>
        <v>59333.333333333336</v>
      </c>
      <c r="P66" s="483"/>
    </row>
    <row r="67" spans="1:16" ht="12.75">
      <c r="A67" s="485">
        <v>423591</v>
      </c>
      <c r="B67" s="494" t="s">
        <v>480</v>
      </c>
      <c r="C67" s="483">
        <v>427710.78</v>
      </c>
      <c r="D67" s="483"/>
      <c r="E67" s="483"/>
      <c r="F67" s="483">
        <v>427710.78</v>
      </c>
      <c r="G67" s="483"/>
      <c r="H67" s="483"/>
      <c r="I67" s="483"/>
      <c r="J67" s="483"/>
      <c r="K67" s="483"/>
      <c r="L67" s="483"/>
      <c r="M67" s="483"/>
      <c r="N67" s="483">
        <f t="shared" si="0"/>
        <v>0.10000193755475711</v>
      </c>
      <c r="O67" s="483">
        <f t="shared" si="1"/>
        <v>570281.04</v>
      </c>
      <c r="P67" s="483"/>
    </row>
    <row r="68" spans="1:16" ht="12.75">
      <c r="A68" s="485">
        <v>423599</v>
      </c>
      <c r="B68" s="483" t="s">
        <v>45</v>
      </c>
      <c r="C68" s="483">
        <v>3464464.22</v>
      </c>
      <c r="D68" s="483">
        <v>2472</v>
      </c>
      <c r="E68" s="483"/>
      <c r="F68" s="483">
        <v>3309992.22</v>
      </c>
      <c r="G68" s="483">
        <v>152000</v>
      </c>
      <c r="H68" s="483"/>
      <c r="I68" s="483"/>
      <c r="J68" s="483"/>
      <c r="K68" s="483"/>
      <c r="L68" s="483"/>
      <c r="M68" s="483"/>
      <c r="N68" s="483">
        <f t="shared" si="0"/>
        <v>0.8100173079320805</v>
      </c>
      <c r="O68" s="483">
        <f t="shared" si="1"/>
        <v>4619285.626666667</v>
      </c>
      <c r="P68" s="483"/>
    </row>
    <row r="69" spans="1:16" ht="12.75">
      <c r="A69" s="488">
        <v>4235</v>
      </c>
      <c r="B69" s="489" t="s">
        <v>109</v>
      </c>
      <c r="C69" s="489">
        <v>3936675</v>
      </c>
      <c r="D69" s="489">
        <v>2472</v>
      </c>
      <c r="E69" s="489"/>
      <c r="F69" s="489">
        <v>3782203</v>
      </c>
      <c r="G69" s="489">
        <v>152000</v>
      </c>
      <c r="H69" s="489"/>
      <c r="I69" s="489"/>
      <c r="J69" s="489"/>
      <c r="K69" s="489"/>
      <c r="L69" s="489">
        <v>4500000</v>
      </c>
      <c r="M69" s="489">
        <v>87.48166666666667</v>
      </c>
      <c r="N69" s="489">
        <f aca="true" t="shared" si="2" ref="N69:N132">C69*100/427702493.03</f>
        <v>0.9204236739681274</v>
      </c>
      <c r="O69" s="483">
        <f aca="true" t="shared" si="3" ref="O69:O132">C69/3*4</f>
        <v>5248900</v>
      </c>
      <c r="P69" s="506">
        <v>4800000</v>
      </c>
    </row>
    <row r="70" spans="1:16" ht="12.75">
      <c r="A70" s="485">
        <v>423611</v>
      </c>
      <c r="B70" s="483" t="s">
        <v>46</v>
      </c>
      <c r="C70" s="483">
        <v>1193453.73</v>
      </c>
      <c r="D70" s="483">
        <v>644590.7</v>
      </c>
      <c r="E70" s="483">
        <v>548863.03</v>
      </c>
      <c r="F70" s="483"/>
      <c r="G70" s="483"/>
      <c r="H70" s="483"/>
      <c r="I70" s="483"/>
      <c r="J70" s="483"/>
      <c r="K70" s="483"/>
      <c r="L70" s="483"/>
      <c r="M70" s="483"/>
      <c r="N70" s="483">
        <f t="shared" si="2"/>
        <v>0.27903829167446276</v>
      </c>
      <c r="O70" s="483">
        <f t="shared" si="3"/>
        <v>1591271.64</v>
      </c>
      <c r="P70" s="483"/>
    </row>
    <row r="71" spans="1:16" ht="12.75">
      <c r="A71" s="488">
        <v>4236</v>
      </c>
      <c r="B71" s="489" t="s">
        <v>110</v>
      </c>
      <c r="C71" s="489">
        <v>1193453.73</v>
      </c>
      <c r="D71" s="489">
        <v>644590.7</v>
      </c>
      <c r="E71" s="489">
        <v>548863.03</v>
      </c>
      <c r="F71" s="489"/>
      <c r="G71" s="489"/>
      <c r="H71" s="489"/>
      <c r="I71" s="489"/>
      <c r="J71" s="489"/>
      <c r="K71" s="489"/>
      <c r="L71" s="489">
        <v>2000000</v>
      </c>
      <c r="M71" s="489">
        <v>59.6726865</v>
      </c>
      <c r="N71" s="489">
        <f t="shared" si="2"/>
        <v>0.27903829167446276</v>
      </c>
      <c r="O71" s="483">
        <f t="shared" si="3"/>
        <v>1591271.64</v>
      </c>
      <c r="P71" s="506">
        <v>1600000</v>
      </c>
    </row>
    <row r="72" spans="1:16" ht="39">
      <c r="A72" s="483" t="s">
        <v>0</v>
      </c>
      <c r="B72" s="483" t="s">
        <v>1</v>
      </c>
      <c r="C72" s="483" t="s">
        <v>2</v>
      </c>
      <c r="D72" s="483" t="s">
        <v>403</v>
      </c>
      <c r="E72" s="483" t="s">
        <v>4</v>
      </c>
      <c r="F72" s="484" t="s">
        <v>457</v>
      </c>
      <c r="G72" s="483" t="s">
        <v>6</v>
      </c>
      <c r="H72" s="484" t="s">
        <v>458</v>
      </c>
      <c r="I72" s="483" t="s">
        <v>191</v>
      </c>
      <c r="J72" s="483" t="s">
        <v>459</v>
      </c>
      <c r="K72" s="484" t="s">
        <v>460</v>
      </c>
      <c r="L72" s="483" t="s">
        <v>201</v>
      </c>
      <c r="M72" s="484" t="s">
        <v>461</v>
      </c>
      <c r="N72" s="484" t="s">
        <v>462</v>
      </c>
      <c r="O72" s="483" t="e">
        <f t="shared" si="3"/>
        <v>#VALUE!</v>
      </c>
      <c r="P72" s="483"/>
    </row>
    <row r="73" spans="1:16" ht="12.75">
      <c r="A73" s="485">
        <v>423711</v>
      </c>
      <c r="B73" s="483" t="s">
        <v>47</v>
      </c>
      <c r="C73" s="483">
        <v>115261.49</v>
      </c>
      <c r="D73" s="483"/>
      <c r="E73" s="483"/>
      <c r="F73" s="483">
        <v>115261.49</v>
      </c>
      <c r="G73" s="483"/>
      <c r="H73" s="483"/>
      <c r="I73" s="483"/>
      <c r="J73" s="483"/>
      <c r="K73" s="483"/>
      <c r="L73" s="483"/>
      <c r="M73" s="483"/>
      <c r="N73" s="483">
        <f t="shared" si="2"/>
        <v>0.026948987176447278</v>
      </c>
      <c r="O73" s="483">
        <f t="shared" si="3"/>
        <v>153681.98666666666</v>
      </c>
      <c r="P73" s="483"/>
    </row>
    <row r="74" spans="1:16" ht="12.75">
      <c r="A74" s="488">
        <v>4237</v>
      </c>
      <c r="B74" s="489" t="s">
        <v>47</v>
      </c>
      <c r="C74" s="489">
        <v>115261.49</v>
      </c>
      <c r="D74" s="489"/>
      <c r="E74" s="489"/>
      <c r="F74" s="489">
        <v>115261.49</v>
      </c>
      <c r="G74" s="489"/>
      <c r="H74" s="489"/>
      <c r="I74" s="489"/>
      <c r="J74" s="489"/>
      <c r="K74" s="489"/>
      <c r="L74" s="489">
        <v>200000</v>
      </c>
      <c r="M74" s="489">
        <v>57.630745</v>
      </c>
      <c r="N74" s="489">
        <f t="shared" si="2"/>
        <v>0.026948987176447278</v>
      </c>
      <c r="O74" s="483">
        <f t="shared" si="3"/>
        <v>153681.98666666666</v>
      </c>
      <c r="P74" s="508">
        <v>600000</v>
      </c>
    </row>
    <row r="75" spans="1:16" ht="12.75">
      <c r="A75" s="485">
        <v>423911</v>
      </c>
      <c r="B75" s="483" t="s">
        <v>48</v>
      </c>
      <c r="C75" s="483">
        <v>551036.4</v>
      </c>
      <c r="D75" s="483">
        <v>225723.4</v>
      </c>
      <c r="E75" s="483">
        <v>38173</v>
      </c>
      <c r="F75" s="483">
        <v>87140</v>
      </c>
      <c r="G75" s="483">
        <v>200000</v>
      </c>
      <c r="H75" s="483"/>
      <c r="I75" s="483"/>
      <c r="J75" s="483"/>
      <c r="K75" s="483"/>
      <c r="L75" s="483"/>
      <c r="M75" s="483"/>
      <c r="N75" s="483">
        <f t="shared" si="2"/>
        <v>0.12883637785140267</v>
      </c>
      <c r="O75" s="483">
        <f t="shared" si="3"/>
        <v>734715.2000000001</v>
      </c>
      <c r="P75" s="498"/>
    </row>
    <row r="76" spans="1:16" ht="12.75">
      <c r="A76" s="490">
        <v>4239</v>
      </c>
      <c r="B76" s="492" t="s">
        <v>48</v>
      </c>
      <c r="C76" s="492">
        <v>551036.4</v>
      </c>
      <c r="D76" s="492">
        <v>225723.4</v>
      </c>
      <c r="E76" s="492">
        <v>38173</v>
      </c>
      <c r="F76" s="492">
        <v>87140</v>
      </c>
      <c r="G76" s="492">
        <v>200000</v>
      </c>
      <c r="H76" s="492"/>
      <c r="I76" s="492"/>
      <c r="J76" s="492"/>
      <c r="K76" s="492"/>
      <c r="L76" s="492">
        <v>880000</v>
      </c>
      <c r="M76" s="492">
        <v>62.61777272727273</v>
      </c>
      <c r="N76" s="492">
        <f t="shared" si="2"/>
        <v>0.12883637785140267</v>
      </c>
      <c r="O76" s="483">
        <f t="shared" si="3"/>
        <v>734715.2000000001</v>
      </c>
      <c r="P76" s="508">
        <v>750000</v>
      </c>
    </row>
    <row r="77" spans="1:16" ht="12.75">
      <c r="A77" s="528">
        <v>424311</v>
      </c>
      <c r="B77" s="527" t="s">
        <v>481</v>
      </c>
      <c r="C77" s="527">
        <v>2883847.33</v>
      </c>
      <c r="D77" s="483"/>
      <c r="E77" s="483"/>
      <c r="F77" s="483">
        <v>2883847.33</v>
      </c>
      <c r="G77" s="483"/>
      <c r="H77" s="483"/>
      <c r="I77" s="483"/>
      <c r="J77" s="483"/>
      <c r="K77" s="483"/>
      <c r="L77" s="483"/>
      <c r="M77" s="483"/>
      <c r="N77" s="483">
        <f t="shared" si="2"/>
        <v>0.6742647931672731</v>
      </c>
      <c r="O77" s="483">
        <f t="shared" si="3"/>
        <v>3845129.7733333334</v>
      </c>
      <c r="P77" s="483"/>
    </row>
    <row r="78" spans="1:16" ht="12.75">
      <c r="A78" s="485">
        <v>424331</v>
      </c>
      <c r="B78" s="494" t="s">
        <v>482</v>
      </c>
      <c r="C78" s="483">
        <v>365390.58</v>
      </c>
      <c r="D78" s="483">
        <v>138838.65</v>
      </c>
      <c r="E78" s="483"/>
      <c r="F78" s="483">
        <v>226551.93</v>
      </c>
      <c r="G78" s="483"/>
      <c r="H78" s="483"/>
      <c r="I78" s="483"/>
      <c r="J78" s="483"/>
      <c r="K78" s="483"/>
      <c r="L78" s="483"/>
      <c r="M78" s="483"/>
      <c r="N78" s="483">
        <f t="shared" si="2"/>
        <v>0.08543101477184299</v>
      </c>
      <c r="O78" s="483">
        <f t="shared" si="3"/>
        <v>487187.44</v>
      </c>
      <c r="P78" s="483"/>
    </row>
    <row r="79" spans="1:17" ht="12.75">
      <c r="A79" s="486">
        <v>4240</v>
      </c>
      <c r="B79" s="487" t="s">
        <v>416</v>
      </c>
      <c r="C79" s="487">
        <v>3438817.83</v>
      </c>
      <c r="D79" s="487">
        <v>138838.65</v>
      </c>
      <c r="E79" s="487">
        <v>0</v>
      </c>
      <c r="F79" s="487">
        <v>3299979.18</v>
      </c>
      <c r="G79" s="487">
        <v>0</v>
      </c>
      <c r="H79" s="487">
        <v>0</v>
      </c>
      <c r="I79" s="487">
        <v>0</v>
      </c>
      <c r="J79" s="487">
        <v>0</v>
      </c>
      <c r="K79" s="487">
        <v>0</v>
      </c>
      <c r="L79" s="487">
        <v>5800000</v>
      </c>
      <c r="M79" s="487">
        <v>59.2899625862069</v>
      </c>
      <c r="N79" s="487">
        <f t="shared" si="2"/>
        <v>0.8040209926386362</v>
      </c>
      <c r="O79" s="483">
        <f t="shared" si="3"/>
        <v>4585090.44</v>
      </c>
      <c r="P79" s="507">
        <f>P80+P82+P84</f>
        <v>3253000</v>
      </c>
      <c r="Q79" s="526"/>
    </row>
    <row r="80" spans="1:16" ht="12.75">
      <c r="A80" s="529">
        <v>4243</v>
      </c>
      <c r="B80" s="530" t="s">
        <v>111</v>
      </c>
      <c r="C80" s="530">
        <v>3249237.91</v>
      </c>
      <c r="D80" s="489">
        <v>138838.65</v>
      </c>
      <c r="E80" s="489"/>
      <c r="F80" s="489">
        <v>3110399.2600000002</v>
      </c>
      <c r="G80" s="489"/>
      <c r="H80" s="489"/>
      <c r="I80" s="489"/>
      <c r="J80" s="489"/>
      <c r="K80" s="489"/>
      <c r="L80" s="489">
        <v>5800000</v>
      </c>
      <c r="M80" s="489">
        <v>56.021343275862066</v>
      </c>
      <c r="N80" s="489">
        <f t="shared" si="2"/>
        <v>0.7596958079391161</v>
      </c>
      <c r="O80" s="483">
        <f t="shared" si="3"/>
        <v>4332317.213333334</v>
      </c>
      <c r="P80" s="506">
        <v>3000000</v>
      </c>
    </row>
    <row r="81" spans="1:16" ht="12.75">
      <c r="A81" s="485">
        <v>424631</v>
      </c>
      <c r="B81" s="483" t="s">
        <v>483</v>
      </c>
      <c r="C81" s="483">
        <v>2249.52</v>
      </c>
      <c r="D81" s="483"/>
      <c r="E81" s="483"/>
      <c r="F81" s="483">
        <v>2249.52</v>
      </c>
      <c r="G81" s="483"/>
      <c r="H81" s="483"/>
      <c r="I81" s="483"/>
      <c r="J81" s="483"/>
      <c r="K81" s="483"/>
      <c r="L81" s="483"/>
      <c r="M81" s="483"/>
      <c r="N81" s="483">
        <f t="shared" si="2"/>
        <v>0.0005259543810613733</v>
      </c>
      <c r="O81" s="483">
        <f t="shared" si="3"/>
        <v>2999.36</v>
      </c>
      <c r="P81" s="483">
        <v>3000</v>
      </c>
    </row>
    <row r="82" spans="1:16" ht="19.5">
      <c r="A82" s="488">
        <v>4246</v>
      </c>
      <c r="B82" s="495" t="s">
        <v>484</v>
      </c>
      <c r="C82" s="489">
        <v>2249.52</v>
      </c>
      <c r="D82" s="489"/>
      <c r="E82" s="489"/>
      <c r="F82" s="489">
        <v>2249.52</v>
      </c>
      <c r="G82" s="489"/>
      <c r="H82" s="489"/>
      <c r="I82" s="489"/>
      <c r="J82" s="489"/>
      <c r="K82" s="489"/>
      <c r="L82" s="489"/>
      <c r="M82" s="489"/>
      <c r="N82" s="489">
        <f t="shared" si="2"/>
        <v>0.0005259543810613733</v>
      </c>
      <c r="O82" s="483">
        <f t="shared" si="3"/>
        <v>2999.36</v>
      </c>
      <c r="P82" s="506">
        <f>SUM(P81)</f>
        <v>3000</v>
      </c>
    </row>
    <row r="83" spans="1:16" ht="12.75">
      <c r="A83" s="485">
        <v>424911</v>
      </c>
      <c r="B83" s="483" t="s">
        <v>485</v>
      </c>
      <c r="C83" s="483">
        <v>187330.4</v>
      </c>
      <c r="D83" s="483"/>
      <c r="E83" s="483"/>
      <c r="F83" s="483">
        <v>187330.4</v>
      </c>
      <c r="G83" s="483"/>
      <c r="H83" s="483"/>
      <c r="I83" s="483"/>
      <c r="J83" s="483"/>
      <c r="K83" s="483"/>
      <c r="L83" s="483"/>
      <c r="M83" s="483"/>
      <c r="N83" s="483">
        <f t="shared" si="2"/>
        <v>0.04379923031845883</v>
      </c>
      <c r="O83" s="483">
        <f t="shared" si="3"/>
        <v>249773.86666666667</v>
      </c>
      <c r="P83" s="483"/>
    </row>
    <row r="84" spans="1:16" ht="12.75">
      <c r="A84" s="488">
        <v>4249</v>
      </c>
      <c r="B84" s="489" t="s">
        <v>485</v>
      </c>
      <c r="C84" s="489">
        <v>187330.4</v>
      </c>
      <c r="D84" s="489">
        <v>0</v>
      </c>
      <c r="E84" s="489"/>
      <c r="F84" s="489">
        <v>187330.4</v>
      </c>
      <c r="G84" s="489"/>
      <c r="H84" s="489"/>
      <c r="I84" s="489"/>
      <c r="J84" s="489">
        <v>0</v>
      </c>
      <c r="K84" s="489"/>
      <c r="L84" s="489"/>
      <c r="M84" s="489"/>
      <c r="N84" s="489">
        <f t="shared" si="2"/>
        <v>0.04379923031845883</v>
      </c>
      <c r="O84" s="483">
        <f t="shared" si="3"/>
        <v>249773.86666666667</v>
      </c>
      <c r="P84" s="506">
        <v>250000</v>
      </c>
    </row>
    <row r="85" spans="1:17" ht="12.75">
      <c r="A85" s="486">
        <v>4250</v>
      </c>
      <c r="B85" s="487" t="s">
        <v>417</v>
      </c>
      <c r="C85" s="487">
        <v>2316526.87</v>
      </c>
      <c r="D85" s="487">
        <v>1692918.8199999998</v>
      </c>
      <c r="E85" s="487">
        <v>178996</v>
      </c>
      <c r="F85" s="487">
        <v>300795.54</v>
      </c>
      <c r="G85" s="487">
        <v>13414</v>
      </c>
      <c r="H85" s="487">
        <v>0</v>
      </c>
      <c r="I85" s="487">
        <v>0</v>
      </c>
      <c r="J85" s="487">
        <v>130402.51</v>
      </c>
      <c r="K85" s="487">
        <v>0</v>
      </c>
      <c r="L85" s="487">
        <v>8957000</v>
      </c>
      <c r="M85" s="487">
        <v>25.862753935469467</v>
      </c>
      <c r="N85" s="487">
        <f t="shared" si="2"/>
        <v>0.5416210818854202</v>
      </c>
      <c r="O85" s="483">
        <f t="shared" si="3"/>
        <v>3088702.4933333336</v>
      </c>
      <c r="P85" s="507">
        <f>P93+P107</f>
        <v>5700000</v>
      </c>
      <c r="Q85" s="526"/>
    </row>
    <row r="86" spans="1:16" ht="12.75">
      <c r="A86" s="485">
        <v>425111</v>
      </c>
      <c r="B86" s="483" t="s">
        <v>486</v>
      </c>
      <c r="C86" s="483">
        <v>1920</v>
      </c>
      <c r="D86" s="483">
        <v>1920</v>
      </c>
      <c r="E86" s="483"/>
      <c r="F86" s="483"/>
      <c r="G86" s="483"/>
      <c r="H86" s="483"/>
      <c r="I86" s="483"/>
      <c r="J86" s="483"/>
      <c r="K86" s="483"/>
      <c r="L86" s="483"/>
      <c r="M86" s="483"/>
      <c r="N86" s="483">
        <f t="shared" si="2"/>
        <v>0.00044891017267587616</v>
      </c>
      <c r="O86" s="483">
        <f t="shared" si="3"/>
        <v>2560</v>
      </c>
      <c r="P86" s="483"/>
    </row>
    <row r="87" spans="1:16" ht="12.75">
      <c r="A87" s="485">
        <v>425112</v>
      </c>
      <c r="B87" s="483" t="s">
        <v>50</v>
      </c>
      <c r="C87" s="483">
        <v>237050.39</v>
      </c>
      <c r="D87" s="483">
        <v>127520.94</v>
      </c>
      <c r="E87" s="483">
        <v>74516.2</v>
      </c>
      <c r="F87" s="483">
        <v>32239.25</v>
      </c>
      <c r="G87" s="483">
        <v>2774</v>
      </c>
      <c r="H87" s="483"/>
      <c r="I87" s="483"/>
      <c r="J87" s="483"/>
      <c r="K87" s="483"/>
      <c r="L87" s="483"/>
      <c r="M87" s="483"/>
      <c r="N87" s="483">
        <f t="shared" si="2"/>
        <v>0.05542413099363739</v>
      </c>
      <c r="O87" s="483">
        <f t="shared" si="3"/>
        <v>316067.1866666667</v>
      </c>
      <c r="P87" s="483">
        <v>400000</v>
      </c>
    </row>
    <row r="88" spans="1:16" ht="12.75">
      <c r="A88" s="485">
        <v>425113</v>
      </c>
      <c r="B88" s="483" t="s">
        <v>487</v>
      </c>
      <c r="C88" s="483">
        <v>44518.4</v>
      </c>
      <c r="D88" s="483">
        <v>37438.4</v>
      </c>
      <c r="E88" s="483"/>
      <c r="F88" s="483"/>
      <c r="G88" s="483">
        <v>7080</v>
      </c>
      <c r="H88" s="483"/>
      <c r="I88" s="483"/>
      <c r="J88" s="483"/>
      <c r="K88" s="483"/>
      <c r="L88" s="483"/>
      <c r="M88" s="483"/>
      <c r="N88" s="483">
        <f t="shared" si="2"/>
        <v>0.010408730537111315</v>
      </c>
      <c r="O88" s="483">
        <f t="shared" si="3"/>
        <v>59357.86666666667</v>
      </c>
      <c r="P88" s="483">
        <v>1400000</v>
      </c>
    </row>
    <row r="89" spans="1:16" ht="12.75">
      <c r="A89" s="485">
        <v>425115</v>
      </c>
      <c r="B89" s="483" t="s">
        <v>51</v>
      </c>
      <c r="C89" s="483">
        <v>242501.59</v>
      </c>
      <c r="D89" s="483">
        <v>108431.08</v>
      </c>
      <c r="E89" s="483">
        <v>3668</v>
      </c>
      <c r="F89" s="483"/>
      <c r="G89" s="483"/>
      <c r="H89" s="483"/>
      <c r="I89" s="483"/>
      <c r="J89" s="483">
        <v>130402.51</v>
      </c>
      <c r="K89" s="483"/>
      <c r="L89" s="483"/>
      <c r="M89" s="483"/>
      <c r="N89" s="483">
        <f t="shared" si="2"/>
        <v>0.05669866179222631</v>
      </c>
      <c r="O89" s="483">
        <f t="shared" si="3"/>
        <v>323335.4533333333</v>
      </c>
      <c r="P89" s="483">
        <v>350000</v>
      </c>
    </row>
    <row r="90" spans="1:16" ht="12.75">
      <c r="A90" s="485">
        <v>425117</v>
      </c>
      <c r="B90" s="483" t="s">
        <v>52</v>
      </c>
      <c r="C90" s="483">
        <v>168581</v>
      </c>
      <c r="D90" s="483">
        <v>126270</v>
      </c>
      <c r="E90" s="483">
        <v>42311</v>
      </c>
      <c r="F90" s="483"/>
      <c r="G90" s="483"/>
      <c r="H90" s="483"/>
      <c r="I90" s="483"/>
      <c r="J90" s="483"/>
      <c r="K90" s="483"/>
      <c r="L90" s="483"/>
      <c r="M90" s="483"/>
      <c r="N90" s="483">
        <f t="shared" si="2"/>
        <v>0.03941548219784993</v>
      </c>
      <c r="O90" s="483">
        <f t="shared" si="3"/>
        <v>224774.66666666666</v>
      </c>
      <c r="P90" s="483">
        <v>1300000</v>
      </c>
    </row>
    <row r="91" spans="1:16" ht="12.75">
      <c r="A91" s="485">
        <v>425119</v>
      </c>
      <c r="B91" s="483" t="s">
        <v>488</v>
      </c>
      <c r="C91" s="483">
        <v>1127</v>
      </c>
      <c r="D91" s="483">
        <v>1127</v>
      </c>
      <c r="E91" s="483"/>
      <c r="F91" s="483"/>
      <c r="G91" s="483"/>
      <c r="H91" s="483"/>
      <c r="I91" s="483"/>
      <c r="J91" s="483"/>
      <c r="K91" s="483"/>
      <c r="L91" s="483"/>
      <c r="M91" s="483"/>
      <c r="N91" s="483">
        <f t="shared" si="2"/>
        <v>0.0002635009190654752</v>
      </c>
      <c r="O91" s="483">
        <f t="shared" si="3"/>
        <v>1502.6666666666667</v>
      </c>
      <c r="P91" s="483"/>
    </row>
    <row r="92" spans="1:16" ht="12.75">
      <c r="A92" s="485">
        <v>425191</v>
      </c>
      <c r="B92" s="483" t="s">
        <v>489</v>
      </c>
      <c r="C92" s="483">
        <v>141937.64</v>
      </c>
      <c r="D92" s="483">
        <v>123352.64</v>
      </c>
      <c r="E92" s="483"/>
      <c r="F92" s="483">
        <v>18585</v>
      </c>
      <c r="G92" s="483"/>
      <c r="H92" s="483"/>
      <c r="I92" s="483"/>
      <c r="J92" s="483"/>
      <c r="K92" s="483"/>
      <c r="L92" s="483"/>
      <c r="M92" s="483"/>
      <c r="N92" s="483">
        <f t="shared" si="2"/>
        <v>0.03318606795916997</v>
      </c>
      <c r="O92" s="483">
        <f t="shared" si="3"/>
        <v>189250.18666666668</v>
      </c>
      <c r="P92" s="483">
        <v>200000</v>
      </c>
    </row>
    <row r="93" spans="1:17" ht="12.75">
      <c r="A93" s="488">
        <v>4251</v>
      </c>
      <c r="B93" s="489" t="s">
        <v>112</v>
      </c>
      <c r="C93" s="489">
        <v>837636.02</v>
      </c>
      <c r="D93" s="489">
        <v>526060.0599999999</v>
      </c>
      <c r="E93" s="489">
        <v>120495.2</v>
      </c>
      <c r="F93" s="489">
        <v>50824.25</v>
      </c>
      <c r="G93" s="489">
        <v>9854</v>
      </c>
      <c r="H93" s="489"/>
      <c r="I93" s="489"/>
      <c r="J93" s="489">
        <v>130402.51</v>
      </c>
      <c r="K93" s="489"/>
      <c r="L93" s="489">
        <v>7057000</v>
      </c>
      <c r="M93" s="489">
        <v>11.869576590619243</v>
      </c>
      <c r="N93" s="489">
        <f t="shared" si="2"/>
        <v>0.19584548457173628</v>
      </c>
      <c r="O93" s="483">
        <f t="shared" si="3"/>
        <v>1116848.0266666666</v>
      </c>
      <c r="P93" s="506">
        <v>3700000</v>
      </c>
      <c r="Q93" s="9"/>
    </row>
    <row r="94" spans="1:16" ht="12.75">
      <c r="A94" s="485">
        <v>425211</v>
      </c>
      <c r="B94" s="483" t="s">
        <v>53</v>
      </c>
      <c r="C94" s="483">
        <v>172457.93</v>
      </c>
      <c r="D94" s="483">
        <v>132600.93</v>
      </c>
      <c r="E94" s="483">
        <v>3600</v>
      </c>
      <c r="F94" s="483">
        <v>36257</v>
      </c>
      <c r="G94" s="483"/>
      <c r="H94" s="483"/>
      <c r="I94" s="483"/>
      <c r="J94" s="483"/>
      <c r="K94" s="483"/>
      <c r="L94" s="483"/>
      <c r="M94" s="483"/>
      <c r="N94" s="483">
        <f t="shared" si="2"/>
        <v>0.04032193704980425</v>
      </c>
      <c r="O94" s="483">
        <f t="shared" si="3"/>
        <v>229943.90666666665</v>
      </c>
      <c r="P94" s="483"/>
    </row>
    <row r="95" spans="1:16" ht="12.75">
      <c r="A95" s="485">
        <v>425212</v>
      </c>
      <c r="B95" s="483" t="s">
        <v>54</v>
      </c>
      <c r="C95" s="483">
        <v>219836.67</v>
      </c>
      <c r="D95" s="483">
        <v>169755.87</v>
      </c>
      <c r="E95" s="483">
        <v>50080.8</v>
      </c>
      <c r="F95" s="483"/>
      <c r="G95" s="483"/>
      <c r="H95" s="483"/>
      <c r="I95" s="483"/>
      <c r="J95" s="483"/>
      <c r="K95" s="483"/>
      <c r="L95" s="483"/>
      <c r="M95" s="483"/>
      <c r="N95" s="483">
        <f t="shared" si="2"/>
        <v>0.05139943619280708</v>
      </c>
      <c r="O95" s="483">
        <f t="shared" si="3"/>
        <v>293115.56</v>
      </c>
      <c r="P95" s="483"/>
    </row>
    <row r="96" spans="1:16" ht="12.75">
      <c r="A96" s="485">
        <v>425213</v>
      </c>
      <c r="B96" s="483" t="s">
        <v>55</v>
      </c>
      <c r="C96" s="483">
        <v>4000</v>
      </c>
      <c r="D96" s="483">
        <v>4000</v>
      </c>
      <c r="E96" s="483"/>
      <c r="F96" s="483"/>
      <c r="G96" s="483"/>
      <c r="H96" s="483"/>
      <c r="I96" s="483"/>
      <c r="J96" s="483"/>
      <c r="K96" s="483"/>
      <c r="L96" s="483"/>
      <c r="M96" s="483"/>
      <c r="N96" s="483">
        <f t="shared" si="2"/>
        <v>0.0009352295264080753</v>
      </c>
      <c r="O96" s="483">
        <f t="shared" si="3"/>
        <v>5333.333333333333</v>
      </c>
      <c r="P96" s="483"/>
    </row>
    <row r="97" spans="1:16" ht="12.75">
      <c r="A97" s="485">
        <v>425219</v>
      </c>
      <c r="B97" s="483" t="s">
        <v>490</v>
      </c>
      <c r="C97" s="483">
        <v>13498.02</v>
      </c>
      <c r="D97" s="483">
        <v>13498.02</v>
      </c>
      <c r="E97" s="483"/>
      <c r="F97" s="483"/>
      <c r="G97" s="483"/>
      <c r="H97" s="483"/>
      <c r="I97" s="483"/>
      <c r="J97" s="483"/>
      <c r="K97" s="483"/>
      <c r="L97" s="483"/>
      <c r="M97" s="483"/>
      <c r="N97" s="483">
        <f t="shared" si="2"/>
        <v>0.003155936713011682</v>
      </c>
      <c r="O97" s="483">
        <f t="shared" si="3"/>
        <v>17997.36</v>
      </c>
      <c r="P97" s="483"/>
    </row>
    <row r="98" spans="1:16" ht="12.75">
      <c r="A98" s="485">
        <v>425221</v>
      </c>
      <c r="B98" s="483" t="s">
        <v>491</v>
      </c>
      <c r="C98" s="483">
        <v>68895</v>
      </c>
      <c r="D98" s="483">
        <v>67320</v>
      </c>
      <c r="E98" s="483"/>
      <c r="F98" s="483">
        <v>1575</v>
      </c>
      <c r="G98" s="483"/>
      <c r="H98" s="483"/>
      <c r="I98" s="483"/>
      <c r="J98" s="483"/>
      <c r="K98" s="483"/>
      <c r="L98" s="483"/>
      <c r="M98" s="483"/>
      <c r="N98" s="483">
        <f t="shared" si="2"/>
        <v>0.016108159555471086</v>
      </c>
      <c r="O98" s="483">
        <f t="shared" si="3"/>
        <v>91860</v>
      </c>
      <c r="P98" s="483"/>
    </row>
    <row r="99" spans="1:16" ht="12.75">
      <c r="A99" s="485">
        <v>425222</v>
      </c>
      <c r="B99" s="483" t="s">
        <v>492</v>
      </c>
      <c r="C99" s="483">
        <v>166950.71</v>
      </c>
      <c r="D99" s="483">
        <v>160873.22</v>
      </c>
      <c r="E99" s="483">
        <v>4820</v>
      </c>
      <c r="F99" s="483">
        <v>1257.49</v>
      </c>
      <c r="G99" s="483"/>
      <c r="H99" s="483"/>
      <c r="I99" s="483"/>
      <c r="J99" s="483"/>
      <c r="K99" s="483"/>
      <c r="L99" s="483"/>
      <c r="M99" s="483"/>
      <c r="N99" s="483">
        <f t="shared" si="2"/>
        <v>0.03903430836169798</v>
      </c>
      <c r="O99" s="483">
        <f t="shared" si="3"/>
        <v>222600.94666666666</v>
      </c>
      <c r="P99" s="483"/>
    </row>
    <row r="100" spans="1:16" ht="12.75">
      <c r="A100" s="485">
        <v>425226</v>
      </c>
      <c r="B100" s="483" t="s">
        <v>493</v>
      </c>
      <c r="C100" s="483">
        <v>5767</v>
      </c>
      <c r="D100" s="483">
        <v>5767</v>
      </c>
      <c r="E100" s="483"/>
      <c r="F100" s="483"/>
      <c r="G100" s="483"/>
      <c r="H100" s="483"/>
      <c r="I100" s="483"/>
      <c r="J100" s="483"/>
      <c r="K100" s="483"/>
      <c r="L100" s="483"/>
      <c r="M100" s="483"/>
      <c r="N100" s="483">
        <f t="shared" si="2"/>
        <v>0.0013483671696988425</v>
      </c>
      <c r="O100" s="483">
        <f t="shared" si="3"/>
        <v>7689.333333333333</v>
      </c>
      <c r="P100" s="483"/>
    </row>
    <row r="101" spans="1:16" ht="12.75">
      <c r="A101" s="485">
        <v>425227</v>
      </c>
      <c r="B101" s="483" t="s">
        <v>494</v>
      </c>
      <c r="C101" s="483">
        <v>216400</v>
      </c>
      <c r="D101" s="483">
        <v>216400</v>
      </c>
      <c r="E101" s="483"/>
      <c r="F101" s="483"/>
      <c r="G101" s="483"/>
      <c r="H101" s="483"/>
      <c r="I101" s="483"/>
      <c r="J101" s="483"/>
      <c r="K101" s="483"/>
      <c r="L101" s="483"/>
      <c r="M101" s="483"/>
      <c r="N101" s="483">
        <f t="shared" si="2"/>
        <v>0.05059591737867687</v>
      </c>
      <c r="O101" s="483">
        <f t="shared" si="3"/>
        <v>288533.3333333333</v>
      </c>
      <c r="P101" s="483"/>
    </row>
    <row r="102" spans="1:16" ht="12.75">
      <c r="A102" s="485">
        <v>425251</v>
      </c>
      <c r="B102" s="483" t="s">
        <v>59</v>
      </c>
      <c r="C102" s="483">
        <v>513518.72</v>
      </c>
      <c r="D102" s="483">
        <v>305399.72</v>
      </c>
      <c r="E102" s="483"/>
      <c r="F102" s="483">
        <v>208119</v>
      </c>
      <c r="G102" s="483"/>
      <c r="H102" s="483"/>
      <c r="I102" s="483"/>
      <c r="J102" s="483"/>
      <c r="K102" s="483"/>
      <c r="L102" s="483"/>
      <c r="M102" s="483"/>
      <c r="N102" s="483">
        <f t="shared" si="2"/>
        <v>0.12006446732682026</v>
      </c>
      <c r="O102" s="483">
        <f t="shared" si="3"/>
        <v>684691.6266666666</v>
      </c>
      <c r="P102" s="483"/>
    </row>
    <row r="103" spans="1:16" ht="12.75">
      <c r="A103" s="485">
        <v>425252</v>
      </c>
      <c r="B103" s="483" t="s">
        <v>60</v>
      </c>
      <c r="C103" s="483">
        <v>35164</v>
      </c>
      <c r="D103" s="483">
        <v>35164</v>
      </c>
      <c r="E103" s="483"/>
      <c r="F103" s="483"/>
      <c r="G103" s="483"/>
      <c r="H103" s="483"/>
      <c r="I103" s="483"/>
      <c r="J103" s="483"/>
      <c r="K103" s="483"/>
      <c r="L103" s="483"/>
      <c r="M103" s="483"/>
      <c r="N103" s="483">
        <f t="shared" si="2"/>
        <v>0.00822160276665339</v>
      </c>
      <c r="O103" s="483">
        <f t="shared" si="3"/>
        <v>46885.333333333336</v>
      </c>
      <c r="P103" s="483"/>
    </row>
    <row r="104" spans="1:16" ht="12.75">
      <c r="A104" s="485">
        <v>425253</v>
      </c>
      <c r="B104" s="483" t="s">
        <v>495</v>
      </c>
      <c r="C104" s="483">
        <v>2312.8</v>
      </c>
      <c r="D104" s="483"/>
      <c r="E104" s="483"/>
      <c r="F104" s="483">
        <v>2312.8</v>
      </c>
      <c r="G104" s="483"/>
      <c r="H104" s="483"/>
      <c r="I104" s="483"/>
      <c r="J104" s="483"/>
      <c r="K104" s="483"/>
      <c r="L104" s="483"/>
      <c r="M104" s="483"/>
      <c r="N104" s="483">
        <f t="shared" si="2"/>
        <v>0.0005407497121691492</v>
      </c>
      <c r="O104" s="483">
        <f t="shared" si="3"/>
        <v>3083.7333333333336</v>
      </c>
      <c r="P104" s="483"/>
    </row>
    <row r="105" spans="1:16" ht="12.75">
      <c r="A105" s="485">
        <v>425281</v>
      </c>
      <c r="B105" s="483" t="s">
        <v>61</v>
      </c>
      <c r="C105" s="483">
        <v>25440</v>
      </c>
      <c r="D105" s="483">
        <v>21880</v>
      </c>
      <c r="E105" s="483"/>
      <c r="F105" s="483"/>
      <c r="G105" s="483">
        <v>3560</v>
      </c>
      <c r="H105" s="483"/>
      <c r="I105" s="483"/>
      <c r="J105" s="483"/>
      <c r="K105" s="483"/>
      <c r="L105" s="483"/>
      <c r="M105" s="483"/>
      <c r="N105" s="483">
        <f t="shared" si="2"/>
        <v>0.005948059787955359</v>
      </c>
      <c r="O105" s="483">
        <f t="shared" si="3"/>
        <v>33920</v>
      </c>
      <c r="P105" s="483"/>
    </row>
    <row r="106" spans="1:16" ht="12.75">
      <c r="A106" s="485">
        <v>425291</v>
      </c>
      <c r="B106" s="483" t="s">
        <v>62</v>
      </c>
      <c r="C106" s="483">
        <v>34650</v>
      </c>
      <c r="D106" s="483">
        <v>34200</v>
      </c>
      <c r="E106" s="483"/>
      <c r="F106" s="483">
        <v>450</v>
      </c>
      <c r="G106" s="483"/>
      <c r="H106" s="483"/>
      <c r="I106" s="483"/>
      <c r="J106" s="483"/>
      <c r="K106" s="483"/>
      <c r="L106" s="483"/>
      <c r="M106" s="483"/>
      <c r="N106" s="483">
        <f t="shared" si="2"/>
        <v>0.008101425772509952</v>
      </c>
      <c r="O106" s="483">
        <f t="shared" si="3"/>
        <v>46200</v>
      </c>
      <c r="P106" s="483"/>
    </row>
    <row r="107" spans="1:16" ht="12.75">
      <c r="A107" s="488">
        <v>4252</v>
      </c>
      <c r="B107" s="489" t="s">
        <v>113</v>
      </c>
      <c r="C107" s="489">
        <v>1478890.8499999999</v>
      </c>
      <c r="D107" s="489">
        <v>1166858.76</v>
      </c>
      <c r="E107" s="489">
        <v>58500.8</v>
      </c>
      <c r="F107" s="489">
        <v>249971.28999999998</v>
      </c>
      <c r="G107" s="489">
        <v>3560</v>
      </c>
      <c r="H107" s="489"/>
      <c r="I107" s="489"/>
      <c r="J107" s="489"/>
      <c r="K107" s="489"/>
      <c r="L107" s="489">
        <v>1900000</v>
      </c>
      <c r="M107" s="489">
        <v>77.83636052631579</v>
      </c>
      <c r="N107" s="489">
        <f t="shared" si="2"/>
        <v>0.34577559731368396</v>
      </c>
      <c r="O107" s="483">
        <f t="shared" si="3"/>
        <v>1971854.4666666666</v>
      </c>
      <c r="P107" s="506">
        <v>2000000</v>
      </c>
    </row>
    <row r="108" spans="1:16" ht="39">
      <c r="A108" s="483" t="s">
        <v>0</v>
      </c>
      <c r="B108" s="483" t="s">
        <v>1</v>
      </c>
      <c r="C108" s="483" t="s">
        <v>2</v>
      </c>
      <c r="D108" s="483" t="s">
        <v>403</v>
      </c>
      <c r="E108" s="483" t="s">
        <v>4</v>
      </c>
      <c r="F108" s="484" t="s">
        <v>457</v>
      </c>
      <c r="G108" s="483" t="s">
        <v>6</v>
      </c>
      <c r="H108" s="484" t="s">
        <v>458</v>
      </c>
      <c r="I108" s="483" t="s">
        <v>191</v>
      </c>
      <c r="J108" s="483" t="s">
        <v>459</v>
      </c>
      <c r="K108" s="484" t="s">
        <v>460</v>
      </c>
      <c r="L108" s="483" t="s">
        <v>201</v>
      </c>
      <c r="M108" s="484" t="s">
        <v>461</v>
      </c>
      <c r="N108" s="484" t="s">
        <v>462</v>
      </c>
      <c r="O108" s="483" t="e">
        <f t="shared" si="3"/>
        <v>#VALUE!</v>
      </c>
      <c r="P108" s="483"/>
    </row>
    <row r="109" spans="1:17" ht="12.75">
      <c r="A109" s="486">
        <v>4260</v>
      </c>
      <c r="B109" s="487" t="s">
        <v>418</v>
      </c>
      <c r="C109" s="487">
        <v>39399481.849999994</v>
      </c>
      <c r="D109" s="487">
        <v>29979983.58</v>
      </c>
      <c r="E109" s="487">
        <v>1451877.92</v>
      </c>
      <c r="F109" s="487">
        <v>7967620.350000001</v>
      </c>
      <c r="G109" s="487"/>
      <c r="H109" s="487"/>
      <c r="I109" s="487"/>
      <c r="J109" s="487"/>
      <c r="K109" s="487"/>
      <c r="L109" s="487">
        <v>66163000</v>
      </c>
      <c r="M109" s="487">
        <v>59.54911634901681</v>
      </c>
      <c r="N109" s="487">
        <f t="shared" si="2"/>
        <v>9.211889687824764</v>
      </c>
      <c r="O109" s="483">
        <f t="shared" si="3"/>
        <v>52532642.46666666</v>
      </c>
      <c r="P109" s="507">
        <f>P115+P117+P121+P128+P132+P136</f>
        <v>55145000</v>
      </c>
      <c r="Q109" s="526"/>
    </row>
    <row r="110" spans="1:16" ht="12.75">
      <c r="A110" s="485">
        <v>426111</v>
      </c>
      <c r="B110" s="483" t="s">
        <v>63</v>
      </c>
      <c r="C110" s="483">
        <v>2948810.09</v>
      </c>
      <c r="D110" s="483">
        <v>1816894.25</v>
      </c>
      <c r="E110" s="483">
        <v>1114923.84</v>
      </c>
      <c r="F110" s="483">
        <v>16992</v>
      </c>
      <c r="G110" s="483"/>
      <c r="H110" s="483"/>
      <c r="I110" s="483"/>
      <c r="J110" s="483"/>
      <c r="K110" s="483"/>
      <c r="L110" s="483"/>
      <c r="M110" s="483"/>
      <c r="N110" s="483">
        <f t="shared" si="2"/>
        <v>0.6894535659845135</v>
      </c>
      <c r="O110" s="483">
        <v>3500000</v>
      </c>
      <c r="P110" s="483"/>
    </row>
    <row r="111" spans="1:16" ht="12.75">
      <c r="A111" s="485">
        <v>426121</v>
      </c>
      <c r="B111" s="483" t="s">
        <v>132</v>
      </c>
      <c r="C111" s="483">
        <v>932259</v>
      </c>
      <c r="D111" s="483">
        <v>430464</v>
      </c>
      <c r="E111" s="483"/>
      <c r="F111" s="483">
        <v>501795</v>
      </c>
      <c r="G111" s="483"/>
      <c r="H111" s="483"/>
      <c r="I111" s="483"/>
      <c r="J111" s="483"/>
      <c r="K111" s="483"/>
      <c r="L111" s="483"/>
      <c r="M111" s="483"/>
      <c r="N111" s="483">
        <f t="shared" si="2"/>
        <v>0.21796903576491647</v>
      </c>
      <c r="O111" s="483">
        <v>1100000</v>
      </c>
      <c r="P111" s="483"/>
    </row>
    <row r="112" spans="1:16" ht="12.75">
      <c r="A112" s="485">
        <v>426124</v>
      </c>
      <c r="B112" s="483" t="s">
        <v>496</v>
      </c>
      <c r="C112" s="483">
        <v>60200</v>
      </c>
      <c r="D112" s="483"/>
      <c r="E112" s="483"/>
      <c r="F112" s="483">
        <v>60200</v>
      </c>
      <c r="G112" s="483"/>
      <c r="H112" s="483"/>
      <c r="I112" s="483"/>
      <c r="J112" s="483"/>
      <c r="K112" s="483"/>
      <c r="L112" s="483"/>
      <c r="M112" s="483"/>
      <c r="N112" s="483">
        <f t="shared" si="2"/>
        <v>0.014075204372441533</v>
      </c>
      <c r="O112" s="483">
        <f t="shared" si="3"/>
        <v>80266.66666666667</v>
      </c>
      <c r="P112" s="483"/>
    </row>
    <row r="113" spans="1:16" ht="12.75">
      <c r="A113" s="485">
        <v>426129</v>
      </c>
      <c r="B113" s="483" t="s">
        <v>64</v>
      </c>
      <c r="C113" s="483">
        <v>25600</v>
      </c>
      <c r="D113" s="483"/>
      <c r="E113" s="483"/>
      <c r="F113" s="483">
        <v>25600</v>
      </c>
      <c r="G113" s="483"/>
      <c r="H113" s="483"/>
      <c r="I113" s="483"/>
      <c r="J113" s="483"/>
      <c r="K113" s="483"/>
      <c r="L113" s="483"/>
      <c r="M113" s="483"/>
      <c r="N113" s="483">
        <f t="shared" si="2"/>
        <v>0.0059854689690116815</v>
      </c>
      <c r="O113" s="483">
        <f t="shared" si="3"/>
        <v>34133.333333333336</v>
      </c>
      <c r="P113" s="483"/>
    </row>
    <row r="114" spans="1:16" ht="12.75">
      <c r="A114" s="485">
        <v>426191</v>
      </c>
      <c r="B114" s="483" t="s">
        <v>497</v>
      </c>
      <c r="C114" s="483">
        <v>1400</v>
      </c>
      <c r="D114" s="483"/>
      <c r="E114" s="483"/>
      <c r="F114" s="483">
        <v>1400</v>
      </c>
      <c r="G114" s="483"/>
      <c r="H114" s="483"/>
      <c r="I114" s="483"/>
      <c r="J114" s="483"/>
      <c r="K114" s="483"/>
      <c r="L114" s="483"/>
      <c r="M114" s="483"/>
      <c r="N114" s="483">
        <f t="shared" si="2"/>
        <v>0.00032733033424282637</v>
      </c>
      <c r="O114" s="483">
        <f t="shared" si="3"/>
        <v>1866.6666666666667</v>
      </c>
      <c r="P114" s="483"/>
    </row>
    <row r="115" spans="1:16" ht="12.75">
      <c r="A115" s="488">
        <v>4261</v>
      </c>
      <c r="B115" s="489" t="s">
        <v>114</v>
      </c>
      <c r="C115" s="489">
        <v>3968269.09</v>
      </c>
      <c r="D115" s="489">
        <v>2247358.25</v>
      </c>
      <c r="E115" s="489">
        <v>1114923.84</v>
      </c>
      <c r="F115" s="489">
        <v>605987</v>
      </c>
      <c r="G115" s="489"/>
      <c r="H115" s="489"/>
      <c r="I115" s="489"/>
      <c r="J115" s="489"/>
      <c r="K115" s="489"/>
      <c r="L115" s="489">
        <v>5000000</v>
      </c>
      <c r="M115" s="489">
        <v>79.3653818</v>
      </c>
      <c r="N115" s="489">
        <f t="shared" si="2"/>
        <v>0.927810605425126</v>
      </c>
      <c r="O115" s="483">
        <f>SUM(O110:O114)</f>
        <v>4716266.666666667</v>
      </c>
      <c r="P115" s="506">
        <v>4800000</v>
      </c>
    </row>
    <row r="116" spans="1:16" ht="12.75">
      <c r="A116" s="485">
        <v>426311</v>
      </c>
      <c r="B116" s="483" t="s">
        <v>65</v>
      </c>
      <c r="C116" s="483">
        <v>456838.02</v>
      </c>
      <c r="D116" s="483"/>
      <c r="E116" s="483"/>
      <c r="F116" s="483">
        <v>456838.02</v>
      </c>
      <c r="G116" s="483"/>
      <c r="H116" s="483"/>
      <c r="I116" s="483"/>
      <c r="J116" s="483"/>
      <c r="K116" s="483"/>
      <c r="L116" s="483"/>
      <c r="M116" s="483"/>
      <c r="N116" s="483">
        <f t="shared" si="2"/>
        <v>0.10681210127245071</v>
      </c>
      <c r="O116" s="483">
        <f t="shared" si="3"/>
        <v>609117.36</v>
      </c>
      <c r="P116" s="483"/>
    </row>
    <row r="117" spans="1:16" ht="12.75">
      <c r="A117" s="488">
        <v>4263</v>
      </c>
      <c r="B117" s="489" t="s">
        <v>115</v>
      </c>
      <c r="C117" s="489">
        <v>456838.02</v>
      </c>
      <c r="D117" s="489"/>
      <c r="E117" s="489"/>
      <c r="F117" s="489">
        <v>456838.02</v>
      </c>
      <c r="G117" s="489"/>
      <c r="H117" s="489"/>
      <c r="I117" s="489"/>
      <c r="J117" s="489"/>
      <c r="K117" s="489"/>
      <c r="L117" s="489">
        <v>1500000</v>
      </c>
      <c r="M117" s="489">
        <v>30.455868</v>
      </c>
      <c r="N117" s="489">
        <f t="shared" si="2"/>
        <v>0.10681210127245071</v>
      </c>
      <c r="O117" s="483">
        <f t="shared" si="3"/>
        <v>609117.36</v>
      </c>
      <c r="P117" s="506">
        <v>800000</v>
      </c>
    </row>
    <row r="118" spans="1:16" ht="12.75">
      <c r="A118" s="485">
        <v>426411</v>
      </c>
      <c r="B118" s="483" t="s">
        <v>66</v>
      </c>
      <c r="C118" s="483">
        <v>8642932.36</v>
      </c>
      <c r="D118" s="483">
        <v>8642932.36</v>
      </c>
      <c r="E118" s="483"/>
      <c r="F118" s="483"/>
      <c r="G118" s="483"/>
      <c r="H118" s="483"/>
      <c r="I118" s="483"/>
      <c r="J118" s="483"/>
      <c r="K118" s="483"/>
      <c r="L118" s="483"/>
      <c r="M118" s="483"/>
      <c r="N118" s="483">
        <f t="shared" si="2"/>
        <v>2.020781384454957</v>
      </c>
      <c r="O118" s="483">
        <f t="shared" si="3"/>
        <v>11523909.813333333</v>
      </c>
      <c r="P118" s="483">
        <v>14615000</v>
      </c>
    </row>
    <row r="119" spans="1:16" ht="12.75">
      <c r="A119" s="485">
        <v>426413</v>
      </c>
      <c r="B119" s="483" t="s">
        <v>68</v>
      </c>
      <c r="C119" s="483">
        <v>20827</v>
      </c>
      <c r="D119" s="483">
        <v>20827</v>
      </c>
      <c r="E119" s="483"/>
      <c r="F119" s="483"/>
      <c r="G119" s="483"/>
      <c r="H119" s="483"/>
      <c r="I119" s="483"/>
      <c r="J119" s="483"/>
      <c r="K119" s="483"/>
      <c r="L119" s="483"/>
      <c r="M119" s="483"/>
      <c r="N119" s="483">
        <f t="shared" si="2"/>
        <v>0.004869506336625246</v>
      </c>
      <c r="O119" s="483">
        <f t="shared" si="3"/>
        <v>27769.333333333332</v>
      </c>
      <c r="P119" s="483">
        <v>30000</v>
      </c>
    </row>
    <row r="120" spans="1:16" ht="12.75">
      <c r="A120" s="485">
        <v>426491</v>
      </c>
      <c r="B120" s="483" t="s">
        <v>69</v>
      </c>
      <c r="C120" s="483">
        <v>876785.32</v>
      </c>
      <c r="D120" s="483">
        <v>751371.14</v>
      </c>
      <c r="E120" s="483">
        <v>65560.18</v>
      </c>
      <c r="F120" s="483">
        <v>59854</v>
      </c>
      <c r="G120" s="483"/>
      <c r="H120" s="483"/>
      <c r="I120" s="483"/>
      <c r="J120" s="483"/>
      <c r="K120" s="483"/>
      <c r="L120" s="483"/>
      <c r="M120" s="483"/>
      <c r="N120" s="483">
        <f t="shared" si="2"/>
        <v>0.20499887989628818</v>
      </c>
      <c r="O120" s="483">
        <f t="shared" si="3"/>
        <v>1169047.0933333333</v>
      </c>
      <c r="P120" s="483">
        <v>1200000</v>
      </c>
    </row>
    <row r="121" spans="1:16" ht="12.75">
      <c r="A121" s="488">
        <v>4264</v>
      </c>
      <c r="B121" s="489" t="s">
        <v>116</v>
      </c>
      <c r="C121" s="489">
        <v>9540544.68</v>
      </c>
      <c r="D121" s="489">
        <v>9415130.5</v>
      </c>
      <c r="E121" s="489">
        <v>65560.18</v>
      </c>
      <c r="F121" s="489">
        <v>59854</v>
      </c>
      <c r="G121" s="530" t="s">
        <v>571</v>
      </c>
      <c r="H121" s="489"/>
      <c r="I121" s="489"/>
      <c r="J121" s="489"/>
      <c r="K121" s="489"/>
      <c r="L121" s="489">
        <v>19762000</v>
      </c>
      <c r="M121" s="489">
        <v>48.27722234591641</v>
      </c>
      <c r="N121" s="489">
        <f t="shared" si="2"/>
        <v>2.2306497706878705</v>
      </c>
      <c r="O121" s="483">
        <f t="shared" si="3"/>
        <v>12720726.24</v>
      </c>
      <c r="P121" s="506">
        <f>SUM(P118:P120)</f>
        <v>15845000</v>
      </c>
    </row>
    <row r="122" spans="1:16" ht="19.5">
      <c r="A122" s="496">
        <v>4267111</v>
      </c>
      <c r="B122" s="497" t="s">
        <v>498</v>
      </c>
      <c r="C122" s="498">
        <v>4678636.67</v>
      </c>
      <c r="D122" s="498">
        <v>4093572.38</v>
      </c>
      <c r="E122" s="498"/>
      <c r="F122" s="498">
        <v>585064.29</v>
      </c>
      <c r="G122" s="527">
        <f aca="true" t="shared" si="4" ref="G122:G127">C122/9*11</f>
        <v>5718333.707777778</v>
      </c>
      <c r="H122" s="498"/>
      <c r="I122" s="498"/>
      <c r="J122" s="498"/>
      <c r="K122" s="498"/>
      <c r="L122" s="498">
        <v>18451000</v>
      </c>
      <c r="M122" s="498">
        <v>25.357089968023413</v>
      </c>
      <c r="N122" s="483">
        <f t="shared" si="2"/>
        <v>1.0938997892798885</v>
      </c>
      <c r="O122" s="483">
        <f t="shared" si="3"/>
        <v>6238182.226666667</v>
      </c>
      <c r="P122" s="483"/>
    </row>
    <row r="123" spans="1:16" ht="12.75">
      <c r="A123" s="485">
        <v>4267112</v>
      </c>
      <c r="B123" s="483" t="s">
        <v>499</v>
      </c>
      <c r="C123" s="483">
        <v>678510.78</v>
      </c>
      <c r="D123" s="483">
        <v>606061.14</v>
      </c>
      <c r="E123" s="483"/>
      <c r="F123" s="483">
        <v>72449.64</v>
      </c>
      <c r="G123" s="527">
        <f t="shared" si="4"/>
        <v>829290.9533333334</v>
      </c>
      <c r="H123" s="483"/>
      <c r="I123" s="483"/>
      <c r="J123" s="483"/>
      <c r="K123" s="483"/>
      <c r="L123" s="483"/>
      <c r="M123" s="483"/>
      <c r="N123" s="483">
        <f t="shared" si="2"/>
        <v>0.15864082886054345</v>
      </c>
      <c r="O123" s="483">
        <f t="shared" si="3"/>
        <v>904681.04</v>
      </c>
      <c r="P123" s="483"/>
    </row>
    <row r="124" spans="1:16" ht="12.75">
      <c r="A124" s="485">
        <v>4267113</v>
      </c>
      <c r="B124" s="483" t="s">
        <v>72</v>
      </c>
      <c r="C124" s="498">
        <v>2107309.29</v>
      </c>
      <c r="D124" s="483"/>
      <c r="E124" s="483">
        <v>53395</v>
      </c>
      <c r="F124" s="483">
        <v>2053914.29</v>
      </c>
      <c r="G124" s="527">
        <f t="shared" si="4"/>
        <v>2575600.2433333336</v>
      </c>
      <c r="H124" s="483"/>
      <c r="I124" s="483"/>
      <c r="J124" s="483"/>
      <c r="K124" s="483"/>
      <c r="L124" s="483">
        <v>3200000</v>
      </c>
      <c r="M124" s="483">
        <v>65.8534153125</v>
      </c>
      <c r="N124" s="483">
        <f t="shared" si="2"/>
        <v>0.4927044673205094</v>
      </c>
      <c r="O124" s="483">
        <f t="shared" si="3"/>
        <v>2809745.72</v>
      </c>
      <c r="P124" s="483">
        <v>2300000</v>
      </c>
    </row>
    <row r="125" spans="1:16" ht="12.75">
      <c r="A125" s="485">
        <v>426721</v>
      </c>
      <c r="B125" s="483" t="s">
        <v>73</v>
      </c>
      <c r="C125" s="483">
        <v>5191333.56</v>
      </c>
      <c r="D125" s="483">
        <v>3079239.8</v>
      </c>
      <c r="E125" s="483"/>
      <c r="F125" s="483">
        <v>2112093.76</v>
      </c>
      <c r="G125" s="527">
        <f t="shared" si="4"/>
        <v>6344963.239999999</v>
      </c>
      <c r="H125" s="498"/>
      <c r="I125" s="498"/>
      <c r="J125" s="483"/>
      <c r="K125" s="483"/>
      <c r="L125" s="483"/>
      <c r="M125" s="483"/>
      <c r="N125" s="483">
        <f t="shared" si="2"/>
        <v>1.2137721066862868</v>
      </c>
      <c r="O125" s="483">
        <f t="shared" si="3"/>
        <v>6921778.079999999</v>
      </c>
      <c r="P125" s="527">
        <v>12000000</v>
      </c>
    </row>
    <row r="126" spans="1:16" ht="12.75">
      <c r="A126" s="485">
        <v>4267511</v>
      </c>
      <c r="B126" s="483" t="s">
        <v>75</v>
      </c>
      <c r="C126" s="483">
        <v>8586683.33</v>
      </c>
      <c r="D126" s="483">
        <v>7440614.87</v>
      </c>
      <c r="E126" s="483"/>
      <c r="F126" s="483">
        <v>1146068.46</v>
      </c>
      <c r="G126" s="527">
        <f t="shared" si="4"/>
        <v>10494835.181111112</v>
      </c>
      <c r="H126" s="498"/>
      <c r="I126" s="498"/>
      <c r="J126" s="483"/>
      <c r="K126" s="483"/>
      <c r="L126" s="483">
        <v>13428000</v>
      </c>
      <c r="M126" s="483">
        <v>63.946107610962166</v>
      </c>
      <c r="N126" s="483">
        <f t="shared" si="2"/>
        <v>2.0076299460330036</v>
      </c>
      <c r="O126" s="483">
        <f t="shared" si="3"/>
        <v>11448911.106666667</v>
      </c>
      <c r="P126" s="527">
        <v>13900000</v>
      </c>
    </row>
    <row r="127" spans="1:16" ht="12.75">
      <c r="A127" s="485">
        <v>4267512</v>
      </c>
      <c r="B127" s="483" t="s">
        <v>74</v>
      </c>
      <c r="C127" s="483">
        <v>1535038.99</v>
      </c>
      <c r="D127" s="483">
        <v>1535038.99</v>
      </c>
      <c r="E127" s="483"/>
      <c r="F127" s="483"/>
      <c r="G127" s="527">
        <f t="shared" si="4"/>
        <v>1876158.7655555555</v>
      </c>
      <c r="H127" s="498"/>
      <c r="I127" s="498"/>
      <c r="J127" s="483"/>
      <c r="K127" s="483"/>
      <c r="L127" s="483"/>
      <c r="M127" s="483"/>
      <c r="N127" s="483">
        <f t="shared" si="2"/>
        <v>0.3589034469089076</v>
      </c>
      <c r="O127" s="483">
        <f t="shared" si="3"/>
        <v>2046718.6533333333</v>
      </c>
      <c r="P127" s="527">
        <v>1800000</v>
      </c>
    </row>
    <row r="128" spans="1:17" ht="12.75">
      <c r="A128" s="488">
        <v>4267</v>
      </c>
      <c r="B128" s="489" t="s">
        <v>117</v>
      </c>
      <c r="C128" s="489">
        <v>22777512.62</v>
      </c>
      <c r="D128" s="489">
        <v>16754527.18</v>
      </c>
      <c r="E128" s="489">
        <v>53395</v>
      </c>
      <c r="F128" s="489">
        <v>5969590.44</v>
      </c>
      <c r="G128" s="527">
        <f>SUM(G122:G127)</f>
        <v>27839182.091111112</v>
      </c>
      <c r="H128" s="498"/>
      <c r="I128" s="534"/>
      <c r="J128" s="489"/>
      <c r="K128" s="489"/>
      <c r="L128" s="489">
        <v>35079000</v>
      </c>
      <c r="M128" s="489">
        <v>64.93204658057527</v>
      </c>
      <c r="N128" s="489">
        <f t="shared" si="2"/>
        <v>5.32555058508914</v>
      </c>
      <c r="O128" s="483">
        <f t="shared" si="3"/>
        <v>30370016.826666668</v>
      </c>
      <c r="P128" s="506">
        <v>30000000</v>
      </c>
      <c r="Q128" s="9"/>
    </row>
    <row r="129" spans="1:16" ht="12.75">
      <c r="A129" s="485">
        <v>426811</v>
      </c>
      <c r="B129" s="483" t="s">
        <v>76</v>
      </c>
      <c r="C129" s="483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>
        <f t="shared" si="2"/>
        <v>0</v>
      </c>
      <c r="O129" s="483">
        <f t="shared" si="3"/>
        <v>0</v>
      </c>
      <c r="P129" s="483"/>
    </row>
    <row r="130" spans="1:16" ht="12.75">
      <c r="A130" s="485">
        <v>426812</v>
      </c>
      <c r="B130" s="483" t="s">
        <v>77</v>
      </c>
      <c r="C130" s="483">
        <v>92248.18</v>
      </c>
      <c r="D130" s="483">
        <v>89648.18</v>
      </c>
      <c r="E130" s="483">
        <v>2600</v>
      </c>
      <c r="F130" s="483"/>
      <c r="G130" s="483"/>
      <c r="H130" s="483"/>
      <c r="I130" s="483"/>
      <c r="J130" s="483"/>
      <c r="K130" s="483"/>
      <c r="L130" s="483"/>
      <c r="M130" s="483"/>
      <c r="N130" s="483">
        <f t="shared" si="2"/>
        <v>0.02156830542335172</v>
      </c>
      <c r="O130" s="483">
        <f t="shared" si="3"/>
        <v>122997.57333333332</v>
      </c>
      <c r="P130" s="483"/>
    </row>
    <row r="131" spans="1:16" ht="12.75">
      <c r="A131" s="485">
        <v>426819</v>
      </c>
      <c r="B131" s="483" t="s">
        <v>78</v>
      </c>
      <c r="C131" s="483">
        <v>985341.4</v>
      </c>
      <c r="D131" s="483">
        <v>803574.4</v>
      </c>
      <c r="E131" s="483">
        <v>181767</v>
      </c>
      <c r="F131" s="483"/>
      <c r="G131" s="483"/>
      <c r="H131" s="483"/>
      <c r="I131" s="483"/>
      <c r="J131" s="483"/>
      <c r="K131" s="483"/>
      <c r="L131" s="483"/>
      <c r="M131" s="483"/>
      <c r="N131" s="483">
        <f t="shared" si="2"/>
        <v>0.23038009271806748</v>
      </c>
      <c r="O131" s="483">
        <f t="shared" si="3"/>
        <v>1313788.5333333334</v>
      </c>
      <c r="P131" s="483"/>
    </row>
    <row r="132" spans="1:16" ht="12.75">
      <c r="A132" s="488">
        <v>4268</v>
      </c>
      <c r="B132" s="489" t="s">
        <v>118</v>
      </c>
      <c r="C132" s="489">
        <v>1077589.58</v>
      </c>
      <c r="D132" s="489">
        <v>893222.5800000001</v>
      </c>
      <c r="E132" s="489">
        <v>184367</v>
      </c>
      <c r="F132" s="489"/>
      <c r="G132" s="489"/>
      <c r="H132" s="489"/>
      <c r="I132" s="489"/>
      <c r="J132" s="489"/>
      <c r="K132" s="489"/>
      <c r="L132" s="489">
        <v>2000000</v>
      </c>
      <c r="M132" s="489">
        <v>53.879479</v>
      </c>
      <c r="N132" s="489">
        <f t="shared" si="2"/>
        <v>0.25194839814141917</v>
      </c>
      <c r="O132" s="483">
        <f t="shared" si="3"/>
        <v>1436786.1066666667</v>
      </c>
      <c r="P132" s="506">
        <v>1500000</v>
      </c>
    </row>
    <row r="133" spans="1:16" ht="12.75">
      <c r="A133" s="485">
        <v>426911</v>
      </c>
      <c r="B133" s="483" t="s">
        <v>79</v>
      </c>
      <c r="C133" s="483">
        <v>177061.72</v>
      </c>
      <c r="D133" s="483">
        <v>161199.4</v>
      </c>
      <c r="E133" s="483"/>
      <c r="F133" s="483">
        <v>15862.32</v>
      </c>
      <c r="G133" s="483"/>
      <c r="H133" s="483"/>
      <c r="I133" s="483"/>
      <c r="J133" s="483"/>
      <c r="K133" s="483"/>
      <c r="L133" s="483"/>
      <c r="M133" s="483"/>
      <c r="N133" s="483">
        <f aca="true" t="shared" si="5" ref="N133:N153">C133*100/427702493.03</f>
        <v>0.04139833713514981</v>
      </c>
      <c r="O133" s="483">
        <f aca="true" t="shared" si="6" ref="O133:O172">C133/3*4</f>
        <v>236082.29333333333</v>
      </c>
      <c r="P133" s="483"/>
    </row>
    <row r="134" spans="1:16" ht="12.75">
      <c r="A134" s="485">
        <v>426913</v>
      </c>
      <c r="B134" s="483" t="s">
        <v>80</v>
      </c>
      <c r="C134" s="483">
        <v>902445.62</v>
      </c>
      <c r="D134" s="483">
        <v>241699.2</v>
      </c>
      <c r="E134" s="483">
        <v>33631.9</v>
      </c>
      <c r="F134" s="483">
        <v>627114.52</v>
      </c>
      <c r="G134" s="483"/>
      <c r="H134" s="483"/>
      <c r="I134" s="483"/>
      <c r="J134" s="483"/>
      <c r="K134" s="483"/>
      <c r="L134" s="483"/>
      <c r="M134" s="483"/>
      <c r="N134" s="483">
        <f t="shared" si="5"/>
        <v>0.21099844745041046</v>
      </c>
      <c r="O134" s="483">
        <f t="shared" si="6"/>
        <v>1203260.8266666667</v>
      </c>
      <c r="P134" s="483"/>
    </row>
    <row r="135" spans="1:16" ht="12.75">
      <c r="A135" s="485">
        <v>426919</v>
      </c>
      <c r="B135" s="483" t="s">
        <v>81</v>
      </c>
      <c r="C135" s="483">
        <v>499220.52</v>
      </c>
      <c r="D135" s="483">
        <v>266846.47</v>
      </c>
      <c r="E135" s="483"/>
      <c r="F135" s="483">
        <v>232374.05</v>
      </c>
      <c r="G135" s="483"/>
      <c r="H135" s="483"/>
      <c r="I135" s="483"/>
      <c r="J135" s="483"/>
      <c r="K135" s="483"/>
      <c r="L135" s="483"/>
      <c r="M135" s="483"/>
      <c r="N135" s="483">
        <f t="shared" si="5"/>
        <v>0.11672144262319827</v>
      </c>
      <c r="O135" s="483">
        <f t="shared" si="6"/>
        <v>665627.36</v>
      </c>
      <c r="P135" s="483"/>
    </row>
    <row r="136" spans="1:16" ht="12.75">
      <c r="A136" s="488">
        <v>4269</v>
      </c>
      <c r="B136" s="489" t="s">
        <v>119</v>
      </c>
      <c r="C136" s="489">
        <v>1578727.86</v>
      </c>
      <c r="D136" s="489">
        <v>669745.07</v>
      </c>
      <c r="E136" s="489">
        <v>33631.9</v>
      </c>
      <c r="F136" s="489">
        <v>875350.8899999999</v>
      </c>
      <c r="G136" s="489">
        <v>0</v>
      </c>
      <c r="H136" s="489"/>
      <c r="I136" s="489"/>
      <c r="J136" s="489"/>
      <c r="K136" s="489"/>
      <c r="L136" s="489">
        <v>2822000</v>
      </c>
      <c r="M136" s="489">
        <v>55.9435811481219</v>
      </c>
      <c r="N136" s="489">
        <f t="shared" si="5"/>
        <v>0.36911822720875853</v>
      </c>
      <c r="O136" s="483">
        <f t="shared" si="6"/>
        <v>2104970.48</v>
      </c>
      <c r="P136" s="506">
        <v>2200000</v>
      </c>
    </row>
    <row r="137" spans="1:17" ht="12.75">
      <c r="A137" s="486">
        <v>4300</v>
      </c>
      <c r="B137" s="487" t="s">
        <v>500</v>
      </c>
      <c r="C137" s="487">
        <v>0</v>
      </c>
      <c r="D137" s="487">
        <v>0</v>
      </c>
      <c r="E137" s="487">
        <v>0</v>
      </c>
      <c r="F137" s="487">
        <v>0</v>
      </c>
      <c r="G137" s="487">
        <v>0</v>
      </c>
      <c r="H137" s="487">
        <v>0</v>
      </c>
      <c r="I137" s="487">
        <v>0</v>
      </c>
      <c r="J137" s="487">
        <v>0</v>
      </c>
      <c r="K137" s="487">
        <v>0</v>
      </c>
      <c r="L137" s="487">
        <v>400000</v>
      </c>
      <c r="M137" s="487">
        <v>0</v>
      </c>
      <c r="N137" s="487">
        <f t="shared" si="5"/>
        <v>0</v>
      </c>
      <c r="O137" s="483">
        <f t="shared" si="6"/>
        <v>0</v>
      </c>
      <c r="P137" s="509">
        <v>400000</v>
      </c>
      <c r="Q137" s="526"/>
    </row>
    <row r="138" spans="1:16" ht="12.75">
      <c r="A138" s="485">
        <v>4311</v>
      </c>
      <c r="B138" s="483" t="s">
        <v>83</v>
      </c>
      <c r="C138" s="483">
        <v>0</v>
      </c>
      <c r="D138" s="483"/>
      <c r="E138" s="483"/>
      <c r="F138" s="483">
        <v>0</v>
      </c>
      <c r="G138" s="483">
        <v>0</v>
      </c>
      <c r="H138" s="483"/>
      <c r="I138" s="483"/>
      <c r="J138" s="483"/>
      <c r="K138" s="483"/>
      <c r="L138" s="483"/>
      <c r="M138" s="483"/>
      <c r="N138" s="483">
        <f t="shared" si="5"/>
        <v>0</v>
      </c>
      <c r="O138" s="483">
        <f t="shared" si="6"/>
        <v>0</v>
      </c>
      <c r="P138" s="483"/>
    </row>
    <row r="139" spans="1:16" ht="12.75">
      <c r="A139" s="485">
        <v>4312</v>
      </c>
      <c r="B139" s="483" t="s">
        <v>84</v>
      </c>
      <c r="C139" s="483">
        <v>0</v>
      </c>
      <c r="D139" s="483"/>
      <c r="E139" s="483"/>
      <c r="F139" s="483">
        <v>0</v>
      </c>
      <c r="G139" s="483">
        <v>0</v>
      </c>
      <c r="H139" s="483"/>
      <c r="I139" s="483"/>
      <c r="J139" s="483"/>
      <c r="K139" s="483"/>
      <c r="L139" s="483"/>
      <c r="M139" s="483"/>
      <c r="N139" s="483">
        <f t="shared" si="5"/>
        <v>0</v>
      </c>
      <c r="O139" s="483">
        <f t="shared" si="6"/>
        <v>0</v>
      </c>
      <c r="P139" s="483"/>
    </row>
    <row r="140" spans="1:17" ht="18.75">
      <c r="A140" s="486">
        <v>4400</v>
      </c>
      <c r="B140" s="493" t="s">
        <v>424</v>
      </c>
      <c r="C140" s="487">
        <v>18705.17</v>
      </c>
      <c r="D140" s="487">
        <v>0</v>
      </c>
      <c r="E140" s="487">
        <v>0</v>
      </c>
      <c r="F140" s="487">
        <v>14296.66</v>
      </c>
      <c r="G140" s="487">
        <v>4408.51</v>
      </c>
      <c r="H140" s="487">
        <v>0</v>
      </c>
      <c r="I140" s="487">
        <v>0</v>
      </c>
      <c r="J140" s="487">
        <v>0</v>
      </c>
      <c r="K140" s="487">
        <v>0</v>
      </c>
      <c r="L140" s="487">
        <v>40000</v>
      </c>
      <c r="M140" s="487">
        <v>46.762924999999996</v>
      </c>
      <c r="N140" s="487">
        <f t="shared" si="5"/>
        <v>0.0043734068201206336</v>
      </c>
      <c r="O140" s="483">
        <f t="shared" si="6"/>
        <v>24940.226666666666</v>
      </c>
      <c r="P140" s="509">
        <v>40000</v>
      </c>
      <c r="Q140" s="526"/>
    </row>
    <row r="141" spans="1:16" ht="12.75">
      <c r="A141" s="485">
        <v>444211</v>
      </c>
      <c r="B141" s="483" t="s">
        <v>85</v>
      </c>
      <c r="C141" s="483">
        <v>18705.17</v>
      </c>
      <c r="D141" s="483"/>
      <c r="E141" s="483"/>
      <c r="F141" s="483">
        <v>14296.66</v>
      </c>
      <c r="G141" s="483">
        <v>4408.51</v>
      </c>
      <c r="H141" s="483"/>
      <c r="I141" s="483"/>
      <c r="J141" s="483"/>
      <c r="K141" s="483"/>
      <c r="L141" s="483"/>
      <c r="M141" s="483"/>
      <c r="N141" s="483">
        <f t="shared" si="5"/>
        <v>0.0043734068201206336</v>
      </c>
      <c r="O141" s="483">
        <f t="shared" si="6"/>
        <v>24940.226666666666</v>
      </c>
      <c r="P141" s="483"/>
    </row>
    <row r="142" spans="1:16" ht="12.75">
      <c r="A142" s="485">
        <v>4442</v>
      </c>
      <c r="B142" s="483" t="s">
        <v>85</v>
      </c>
      <c r="C142" s="483">
        <v>18705.17</v>
      </c>
      <c r="D142" s="483"/>
      <c r="E142" s="483"/>
      <c r="F142" s="483">
        <v>14296.66</v>
      </c>
      <c r="G142" s="483">
        <v>4408.51</v>
      </c>
      <c r="H142" s="483"/>
      <c r="I142" s="483"/>
      <c r="J142" s="483"/>
      <c r="K142" s="483"/>
      <c r="L142" s="483"/>
      <c r="M142" s="483"/>
      <c r="N142" s="483">
        <f t="shared" si="5"/>
        <v>0.0043734068201206336</v>
      </c>
      <c r="O142" s="483">
        <f t="shared" si="6"/>
        <v>24940.226666666666</v>
      </c>
      <c r="P142" s="483"/>
    </row>
    <row r="143" spans="1:16" ht="39">
      <c r="A143" s="483" t="s">
        <v>0</v>
      </c>
      <c r="B143" s="483" t="s">
        <v>1</v>
      </c>
      <c r="C143" s="483" t="s">
        <v>2</v>
      </c>
      <c r="D143" s="483" t="s">
        <v>403</v>
      </c>
      <c r="E143" s="483" t="s">
        <v>4</v>
      </c>
      <c r="F143" s="484" t="s">
        <v>457</v>
      </c>
      <c r="G143" s="483" t="s">
        <v>6</v>
      </c>
      <c r="H143" s="484" t="s">
        <v>458</v>
      </c>
      <c r="I143" s="483" t="s">
        <v>191</v>
      </c>
      <c r="J143" s="483" t="s">
        <v>459</v>
      </c>
      <c r="K143" s="484" t="s">
        <v>460</v>
      </c>
      <c r="L143" s="483" t="s">
        <v>201</v>
      </c>
      <c r="M143" s="484" t="s">
        <v>461</v>
      </c>
      <c r="N143" s="497" t="s">
        <v>462</v>
      </c>
      <c r="O143" s="483" t="e">
        <f t="shared" si="6"/>
        <v>#VALUE!</v>
      </c>
      <c r="P143" s="483"/>
    </row>
    <row r="144" spans="1:17" ht="12.75">
      <c r="A144" s="486">
        <v>4800</v>
      </c>
      <c r="B144" s="487" t="s">
        <v>501</v>
      </c>
      <c r="C144" s="487">
        <v>2111727.94</v>
      </c>
      <c r="D144" s="487">
        <v>216222.5</v>
      </c>
      <c r="E144" s="487">
        <v>0</v>
      </c>
      <c r="F144" s="487">
        <v>1589687</v>
      </c>
      <c r="G144" s="487">
        <v>305818.44</v>
      </c>
      <c r="H144" s="487">
        <v>0</v>
      </c>
      <c r="I144" s="487">
        <v>0</v>
      </c>
      <c r="J144" s="487">
        <v>0</v>
      </c>
      <c r="K144" s="487">
        <v>0</v>
      </c>
      <c r="L144" s="487">
        <v>2800000</v>
      </c>
      <c r="M144" s="487">
        <v>75.418855</v>
      </c>
      <c r="N144" s="487">
        <f t="shared" si="5"/>
        <v>0.4937375803072251</v>
      </c>
      <c r="O144" s="483">
        <f t="shared" si="6"/>
        <v>2815637.2533333334</v>
      </c>
      <c r="P144" s="507">
        <v>2900000</v>
      </c>
      <c r="Q144" s="526"/>
    </row>
    <row r="145" spans="1:16" ht="12.75">
      <c r="A145" s="485">
        <v>482111</v>
      </c>
      <c r="B145" s="483" t="s">
        <v>502</v>
      </c>
      <c r="C145" s="483">
        <v>39750</v>
      </c>
      <c r="D145" s="483"/>
      <c r="E145" s="483"/>
      <c r="F145" s="483">
        <v>39750</v>
      </c>
      <c r="G145" s="483"/>
      <c r="H145" s="483"/>
      <c r="I145" s="483"/>
      <c r="J145" s="483"/>
      <c r="K145" s="483"/>
      <c r="L145" s="483"/>
      <c r="M145" s="483"/>
      <c r="N145" s="483">
        <f t="shared" si="5"/>
        <v>0.009293843418680248</v>
      </c>
      <c r="O145" s="483">
        <f t="shared" si="6"/>
        <v>53000</v>
      </c>
      <c r="P145" s="483"/>
    </row>
    <row r="146" spans="1:16" ht="12.75">
      <c r="A146" s="485">
        <v>482131</v>
      </c>
      <c r="B146" s="483" t="s">
        <v>86</v>
      </c>
      <c r="C146" s="483">
        <v>87705.5</v>
      </c>
      <c r="D146" s="483">
        <v>87705.5</v>
      </c>
      <c r="E146" s="483"/>
      <c r="F146" s="483"/>
      <c r="G146" s="483"/>
      <c r="H146" s="483"/>
      <c r="I146" s="483"/>
      <c r="J146" s="483"/>
      <c r="K146" s="483"/>
      <c r="L146" s="483"/>
      <c r="M146" s="483"/>
      <c r="N146" s="483">
        <f t="shared" si="5"/>
        <v>0.02050619330709586</v>
      </c>
      <c r="O146" s="483">
        <f t="shared" si="6"/>
        <v>116940.66666666667</v>
      </c>
      <c r="P146" s="483"/>
    </row>
    <row r="147" spans="1:16" ht="12.75">
      <c r="A147" s="485">
        <v>482191</v>
      </c>
      <c r="B147" s="483" t="s">
        <v>87</v>
      </c>
      <c r="C147" s="483">
        <v>1636939.44</v>
      </c>
      <c r="D147" s="483"/>
      <c r="E147" s="483"/>
      <c r="F147" s="483">
        <v>1515321</v>
      </c>
      <c r="G147" s="483">
        <v>121618.44</v>
      </c>
      <c r="H147" s="483"/>
      <c r="I147" s="483"/>
      <c r="J147" s="483"/>
      <c r="K147" s="483"/>
      <c r="L147" s="483"/>
      <c r="M147" s="483"/>
      <c r="N147" s="483">
        <f t="shared" si="5"/>
        <v>0.382728524307475</v>
      </c>
      <c r="O147" s="483">
        <f t="shared" si="6"/>
        <v>2182585.92</v>
      </c>
      <c r="P147" s="483"/>
    </row>
    <row r="148" spans="1:16" ht="12.75">
      <c r="A148" s="488">
        <v>4821</v>
      </c>
      <c r="B148" s="489" t="s">
        <v>87</v>
      </c>
      <c r="C148" s="489">
        <v>1764394.94</v>
      </c>
      <c r="D148" s="489">
        <v>87705.5</v>
      </c>
      <c r="E148" s="489"/>
      <c r="F148" s="489">
        <v>1555071</v>
      </c>
      <c r="G148" s="489">
        <v>121618.44</v>
      </c>
      <c r="H148" s="489"/>
      <c r="I148" s="489"/>
      <c r="J148" s="489"/>
      <c r="K148" s="489"/>
      <c r="L148" s="489"/>
      <c r="M148" s="489"/>
      <c r="N148" s="489">
        <f t="shared" si="5"/>
        <v>0.4125285610332511</v>
      </c>
      <c r="O148" s="483">
        <f t="shared" si="6"/>
        <v>2352526.5866666664</v>
      </c>
      <c r="P148" s="506">
        <v>2400000</v>
      </c>
    </row>
    <row r="149" spans="1:16" ht="12.75">
      <c r="A149" s="485">
        <v>482211</v>
      </c>
      <c r="B149" s="483" t="s">
        <v>88</v>
      </c>
      <c r="C149" s="483">
        <v>600</v>
      </c>
      <c r="D149" s="483"/>
      <c r="E149" s="483"/>
      <c r="F149" s="483">
        <v>600</v>
      </c>
      <c r="G149" s="483"/>
      <c r="H149" s="483"/>
      <c r="I149" s="483"/>
      <c r="J149" s="483"/>
      <c r="K149" s="483"/>
      <c r="L149" s="483"/>
      <c r="M149" s="483"/>
      <c r="N149" s="483">
        <f t="shared" si="5"/>
        <v>0.0001402844289612113</v>
      </c>
      <c r="O149" s="483">
        <f t="shared" si="6"/>
        <v>800</v>
      </c>
      <c r="P149" s="483"/>
    </row>
    <row r="150" spans="1:16" ht="12.75">
      <c r="A150" s="485">
        <v>482241</v>
      </c>
      <c r="B150" s="483" t="s">
        <v>91</v>
      </c>
      <c r="C150" s="483">
        <v>312717</v>
      </c>
      <c r="D150" s="483">
        <v>128517</v>
      </c>
      <c r="E150" s="483"/>
      <c r="F150" s="483"/>
      <c r="G150" s="483">
        <v>184200</v>
      </c>
      <c r="H150" s="483"/>
      <c r="I150" s="483"/>
      <c r="J150" s="483"/>
      <c r="K150" s="483"/>
      <c r="L150" s="483"/>
      <c r="M150" s="483"/>
      <c r="N150" s="483">
        <f t="shared" si="5"/>
        <v>0.07311554295243852</v>
      </c>
      <c r="O150" s="483">
        <f t="shared" si="6"/>
        <v>416956</v>
      </c>
      <c r="P150" s="483"/>
    </row>
    <row r="151" spans="1:16" ht="12.75">
      <c r="A151" s="485">
        <v>482251</v>
      </c>
      <c r="B151" s="483" t="s">
        <v>89</v>
      </c>
      <c r="C151" s="483">
        <v>34016</v>
      </c>
      <c r="D151" s="483"/>
      <c r="E151" s="483"/>
      <c r="F151" s="483">
        <v>34016</v>
      </c>
      <c r="G151" s="483"/>
      <c r="H151" s="483"/>
      <c r="I151" s="483"/>
      <c r="J151" s="483"/>
      <c r="K151" s="483"/>
      <c r="L151" s="483"/>
      <c r="M151" s="483"/>
      <c r="N151" s="483">
        <f t="shared" si="5"/>
        <v>0.007953191892574272</v>
      </c>
      <c r="O151" s="483">
        <f t="shared" si="6"/>
        <v>45354.666666666664</v>
      </c>
      <c r="P151" s="483"/>
    </row>
    <row r="152" spans="1:16" ht="12.75">
      <c r="A152" s="488">
        <v>4822</v>
      </c>
      <c r="B152" s="489" t="s">
        <v>90</v>
      </c>
      <c r="C152" s="489">
        <v>347333</v>
      </c>
      <c r="D152" s="489">
        <v>128517</v>
      </c>
      <c r="E152" s="489"/>
      <c r="F152" s="489">
        <v>34616</v>
      </c>
      <c r="G152" s="489">
        <v>184200</v>
      </c>
      <c r="H152" s="489"/>
      <c r="I152" s="489"/>
      <c r="J152" s="489"/>
      <c r="K152" s="489"/>
      <c r="L152" s="489"/>
      <c r="M152" s="489"/>
      <c r="N152" s="489">
        <f t="shared" si="5"/>
        <v>0.081209019273974</v>
      </c>
      <c r="O152" s="483">
        <f t="shared" si="6"/>
        <v>463110.6666666667</v>
      </c>
      <c r="P152" s="506">
        <v>500000</v>
      </c>
    </row>
    <row r="153" spans="1:16" ht="12.75">
      <c r="A153" s="485"/>
      <c r="B153" s="483" t="s">
        <v>503</v>
      </c>
      <c r="C153" s="483">
        <v>427702193.03</v>
      </c>
      <c r="D153" s="483">
        <v>391064325.34999996</v>
      </c>
      <c r="E153" s="483">
        <v>2626297.7</v>
      </c>
      <c r="F153" s="483">
        <v>26483309.499999996</v>
      </c>
      <c r="G153" s="483">
        <v>2366740.3400000003</v>
      </c>
      <c r="H153" s="483">
        <v>5031117.63</v>
      </c>
      <c r="I153" s="483">
        <v>0</v>
      </c>
      <c r="J153" s="483">
        <v>130402.51</v>
      </c>
      <c r="K153" s="483">
        <v>0</v>
      </c>
      <c r="L153" s="483">
        <v>594760000</v>
      </c>
      <c r="M153" s="483">
        <v>71.9117279289125</v>
      </c>
      <c r="N153" s="483">
        <f t="shared" si="5"/>
        <v>99.99992985778553</v>
      </c>
      <c r="O153" s="483">
        <f t="shared" si="6"/>
        <v>570269590.7066666</v>
      </c>
      <c r="P153" s="507">
        <f>P144+P140+P137+P109+P85+P79+P52+P22+P19+P9+P6+P20+P21</f>
        <v>610157800</v>
      </c>
    </row>
    <row r="154" spans="1:16" ht="12.75">
      <c r="A154" s="499"/>
      <c r="B154" s="483" t="s">
        <v>504</v>
      </c>
      <c r="C154" s="483">
        <f>C153*100/427702193.03</f>
        <v>100</v>
      </c>
      <c r="D154" s="483">
        <f aca="true" t="shared" si="7" ref="D154:K154">D153*100/427702193.03</f>
        <v>91.43379008172865</v>
      </c>
      <c r="E154" s="483">
        <f t="shared" si="7"/>
        <v>0.6140482192514234</v>
      </c>
      <c r="F154" s="483">
        <f t="shared" si="7"/>
        <v>6.191997593555102</v>
      </c>
      <c r="G154" s="483">
        <f t="shared" si="7"/>
        <v>0.5533617499674574</v>
      </c>
      <c r="H154" s="483">
        <f t="shared" si="7"/>
        <v>1.1763132646942276</v>
      </c>
      <c r="I154" s="483">
        <f t="shared" si="7"/>
        <v>0</v>
      </c>
      <c r="J154" s="483">
        <f t="shared" si="7"/>
        <v>0.03048909080315454</v>
      </c>
      <c r="K154" s="483">
        <f t="shared" si="7"/>
        <v>0</v>
      </c>
      <c r="L154" s="481"/>
      <c r="M154" s="481"/>
      <c r="N154" s="481"/>
      <c r="O154" s="483">
        <f t="shared" si="6"/>
        <v>133.33333333333334</v>
      </c>
      <c r="P154" s="483"/>
    </row>
    <row r="155" spans="1:16" ht="12.75">
      <c r="A155" s="499"/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3"/>
      <c r="P155" s="483"/>
    </row>
    <row r="156" spans="1:16" ht="12.75">
      <c r="A156" s="499"/>
      <c r="B156" s="481"/>
      <c r="C156" s="481"/>
      <c r="D156" s="482" t="s">
        <v>455</v>
      </c>
      <c r="E156" s="482"/>
      <c r="F156" s="482"/>
      <c r="G156" s="482"/>
      <c r="H156" s="481"/>
      <c r="I156" s="481"/>
      <c r="J156" s="481"/>
      <c r="K156" s="481"/>
      <c r="L156" s="481"/>
      <c r="M156" s="481"/>
      <c r="N156" s="481"/>
      <c r="O156" s="483"/>
      <c r="P156" s="483"/>
    </row>
    <row r="157" spans="1:16" ht="12.75">
      <c r="A157" s="500" t="s">
        <v>195</v>
      </c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3"/>
      <c r="P157" s="483"/>
    </row>
    <row r="158" spans="1:16" ht="39">
      <c r="A158" s="483" t="s">
        <v>0</v>
      </c>
      <c r="B158" s="483" t="s">
        <v>1</v>
      </c>
      <c r="C158" s="483" t="s">
        <v>2</v>
      </c>
      <c r="D158" s="483" t="s">
        <v>403</v>
      </c>
      <c r="E158" s="483" t="s">
        <v>4</v>
      </c>
      <c r="F158" s="484" t="s">
        <v>457</v>
      </c>
      <c r="G158" s="483" t="s">
        <v>6</v>
      </c>
      <c r="H158" s="484" t="s">
        <v>458</v>
      </c>
      <c r="I158" s="483" t="s">
        <v>191</v>
      </c>
      <c r="J158" s="483" t="s">
        <v>459</v>
      </c>
      <c r="K158" s="484" t="s">
        <v>460</v>
      </c>
      <c r="L158" s="483" t="s">
        <v>201</v>
      </c>
      <c r="M158" s="484" t="s">
        <v>461</v>
      </c>
      <c r="N158" s="484" t="s">
        <v>505</v>
      </c>
      <c r="O158" s="483" t="e">
        <f t="shared" si="6"/>
        <v>#VALUE!</v>
      </c>
      <c r="P158" s="483"/>
    </row>
    <row r="159" spans="1:16" ht="12.75">
      <c r="A159" s="485">
        <v>511322</v>
      </c>
      <c r="B159" s="483" t="s">
        <v>506</v>
      </c>
      <c r="C159" s="483">
        <v>573554.34</v>
      </c>
      <c r="D159" s="483"/>
      <c r="E159" s="483"/>
      <c r="F159" s="483">
        <v>573554.34</v>
      </c>
      <c r="G159" s="483"/>
      <c r="H159" s="483"/>
      <c r="I159" s="483"/>
      <c r="J159" s="483"/>
      <c r="K159" s="483"/>
      <c r="L159" s="483"/>
      <c r="M159" s="483"/>
      <c r="N159" s="483"/>
      <c r="O159" s="483">
        <f t="shared" si="6"/>
        <v>764739.12</v>
      </c>
      <c r="P159" s="483"/>
    </row>
    <row r="160" spans="1:17" ht="12.75">
      <c r="A160" s="486">
        <v>5113</v>
      </c>
      <c r="B160" s="487" t="s">
        <v>507</v>
      </c>
      <c r="C160" s="487">
        <v>573554.34</v>
      </c>
      <c r="D160" s="487"/>
      <c r="E160" s="487"/>
      <c r="F160" s="487">
        <v>573554.34</v>
      </c>
      <c r="G160" s="487"/>
      <c r="H160" s="487"/>
      <c r="I160" s="487">
        <v>0</v>
      </c>
      <c r="J160" s="487"/>
      <c r="K160" s="487"/>
      <c r="L160" s="487">
        <v>14618350</v>
      </c>
      <c r="M160" s="487">
        <v>3.9235231062329197</v>
      </c>
      <c r="N160" s="487">
        <f>C160*100/11061181.55</f>
        <v>5.185289992821788</v>
      </c>
      <c r="O160" s="483">
        <f t="shared" si="6"/>
        <v>764739.12</v>
      </c>
      <c r="P160" s="511">
        <f>5978350+7480000</f>
        <v>13458350</v>
      </c>
      <c r="Q160" s="535"/>
    </row>
    <row r="161" spans="1:16" ht="12.75">
      <c r="A161" s="485">
        <v>512111</v>
      </c>
      <c r="B161" s="483" t="s">
        <v>124</v>
      </c>
      <c r="C161" s="483">
        <v>4366890</v>
      </c>
      <c r="D161" s="483"/>
      <c r="E161" s="483"/>
      <c r="F161" s="483">
        <v>1546890</v>
      </c>
      <c r="G161" s="483"/>
      <c r="H161" s="483"/>
      <c r="I161" s="483"/>
      <c r="J161" s="483">
        <v>2820000</v>
      </c>
      <c r="K161" s="483"/>
      <c r="L161" s="483">
        <v>3876350</v>
      </c>
      <c r="M161" s="483">
        <v>112.65468804416525</v>
      </c>
      <c r="N161" s="483">
        <f aca="true" t="shared" si="8" ref="N161:N178">C161*100/11061181.55</f>
        <v>39.479417097172586</v>
      </c>
      <c r="O161" s="483">
        <f t="shared" si="6"/>
        <v>5822520</v>
      </c>
      <c r="P161" s="483"/>
    </row>
    <row r="162" spans="1:17" ht="12.75">
      <c r="A162" s="486">
        <v>5121</v>
      </c>
      <c r="B162" s="487" t="s">
        <v>125</v>
      </c>
      <c r="C162" s="487">
        <v>4366890</v>
      </c>
      <c r="D162" s="487"/>
      <c r="E162" s="487"/>
      <c r="F162" s="487">
        <v>1546890</v>
      </c>
      <c r="G162" s="487"/>
      <c r="H162" s="487"/>
      <c r="I162" s="487"/>
      <c r="J162" s="487">
        <v>2820000</v>
      </c>
      <c r="K162" s="487"/>
      <c r="L162" s="487">
        <v>6875000</v>
      </c>
      <c r="M162" s="487">
        <v>63.5184</v>
      </c>
      <c r="N162" s="487">
        <f t="shared" si="8"/>
        <v>39.479417097172586</v>
      </c>
      <c r="O162" s="483">
        <f t="shared" si="6"/>
        <v>5822520</v>
      </c>
      <c r="P162" s="511">
        <v>6875000</v>
      </c>
      <c r="Q162" s="535"/>
    </row>
    <row r="163" spans="1:16" ht="12.75">
      <c r="A163" s="485">
        <v>512211</v>
      </c>
      <c r="B163" s="483" t="s">
        <v>120</v>
      </c>
      <c r="C163" s="483">
        <v>3491462.44</v>
      </c>
      <c r="D163" s="483"/>
      <c r="E163" s="483"/>
      <c r="F163" s="483">
        <v>3491462.44</v>
      </c>
      <c r="G163" s="483"/>
      <c r="H163" s="483"/>
      <c r="I163" s="483"/>
      <c r="J163" s="483"/>
      <c r="K163" s="483"/>
      <c r="L163" s="483">
        <v>7400000</v>
      </c>
      <c r="M163" s="483">
        <v>47.18192486486487</v>
      </c>
      <c r="N163" s="483">
        <f t="shared" si="8"/>
        <v>31.56500437333478</v>
      </c>
      <c r="O163" s="483">
        <f t="shared" si="6"/>
        <v>4655283.253333333</v>
      </c>
      <c r="P163" s="483"/>
    </row>
    <row r="164" spans="1:17" ht="12.75">
      <c r="A164" s="490" t="s">
        <v>508</v>
      </c>
      <c r="B164" s="492" t="s">
        <v>120</v>
      </c>
      <c r="C164" s="492">
        <v>3491462.44</v>
      </c>
      <c r="D164" s="492"/>
      <c r="E164" s="492"/>
      <c r="F164" s="492">
        <v>3491462.44</v>
      </c>
      <c r="G164" s="492"/>
      <c r="H164" s="492"/>
      <c r="I164" s="492"/>
      <c r="J164" s="492"/>
      <c r="K164" s="492"/>
      <c r="L164" s="492">
        <v>7400000</v>
      </c>
      <c r="M164" s="492">
        <v>47.18192486486487</v>
      </c>
      <c r="N164" s="492">
        <f t="shared" si="8"/>
        <v>31.56500437333478</v>
      </c>
      <c r="O164" s="483">
        <f t="shared" si="6"/>
        <v>4655283.253333333</v>
      </c>
      <c r="P164" s="506">
        <v>3500000</v>
      </c>
      <c r="Q164" s="535"/>
    </row>
    <row r="165" spans="1:16" ht="12.75">
      <c r="A165" s="485">
        <v>512212</v>
      </c>
      <c r="B165" s="483" t="s">
        <v>494</v>
      </c>
      <c r="C165" s="483">
        <v>354885</v>
      </c>
      <c r="D165" s="483"/>
      <c r="E165" s="483"/>
      <c r="F165" s="483">
        <v>30990</v>
      </c>
      <c r="G165" s="483"/>
      <c r="H165" s="483"/>
      <c r="I165" s="483"/>
      <c r="J165" s="483"/>
      <c r="K165" s="483">
        <v>323895</v>
      </c>
      <c r="L165" s="483"/>
      <c r="M165" s="483"/>
      <c r="N165" s="483">
        <f t="shared" si="8"/>
        <v>3.208382381175183</v>
      </c>
      <c r="O165" s="483">
        <f t="shared" si="6"/>
        <v>473180</v>
      </c>
      <c r="P165" s="483"/>
    </row>
    <row r="166" spans="1:16" ht="12.75">
      <c r="A166" s="485">
        <v>512221</v>
      </c>
      <c r="B166" s="483" t="s">
        <v>56</v>
      </c>
      <c r="C166" s="483">
        <v>415112.61</v>
      </c>
      <c r="D166" s="483"/>
      <c r="E166" s="483"/>
      <c r="F166" s="483">
        <v>130378.2</v>
      </c>
      <c r="G166" s="483"/>
      <c r="H166" s="483"/>
      <c r="I166" s="483">
        <v>284734.41</v>
      </c>
      <c r="J166" s="483"/>
      <c r="K166" s="483"/>
      <c r="L166" s="483"/>
      <c r="M166" s="483"/>
      <c r="N166" s="483">
        <f t="shared" si="8"/>
        <v>3.7528776480483677</v>
      </c>
      <c r="O166" s="483">
        <f t="shared" si="6"/>
        <v>553483.48</v>
      </c>
      <c r="P166" s="483"/>
    </row>
    <row r="167" spans="1:16" ht="12.75">
      <c r="A167" s="485">
        <v>512232</v>
      </c>
      <c r="B167" s="483" t="s">
        <v>509</v>
      </c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>
        <f t="shared" si="8"/>
        <v>0</v>
      </c>
      <c r="O167" s="483">
        <f t="shared" si="6"/>
        <v>0</v>
      </c>
      <c r="P167" s="483"/>
    </row>
    <row r="168" spans="1:16" ht="12.75">
      <c r="A168" s="485">
        <v>512241</v>
      </c>
      <c r="B168" s="483" t="s">
        <v>510</v>
      </c>
      <c r="C168" s="483">
        <v>426735.2</v>
      </c>
      <c r="D168" s="483"/>
      <c r="E168" s="483"/>
      <c r="F168" s="483">
        <v>426735.2</v>
      </c>
      <c r="G168" s="483"/>
      <c r="H168" s="483"/>
      <c r="I168" s="483"/>
      <c r="J168" s="483"/>
      <c r="K168" s="483"/>
      <c r="L168" s="483"/>
      <c r="M168" s="483"/>
      <c r="N168" s="483">
        <f t="shared" si="8"/>
        <v>3.857953131598314</v>
      </c>
      <c r="O168" s="483">
        <f t="shared" si="6"/>
        <v>568980.2666666667</v>
      </c>
      <c r="P168" s="483"/>
    </row>
    <row r="169" spans="1:16" ht="12.75">
      <c r="A169" s="485">
        <v>512251</v>
      </c>
      <c r="B169" s="483" t="s">
        <v>122</v>
      </c>
      <c r="C169" s="483">
        <v>60560</v>
      </c>
      <c r="D169" s="483"/>
      <c r="E169" s="483"/>
      <c r="F169" s="483">
        <v>60560</v>
      </c>
      <c r="G169" s="483"/>
      <c r="H169" s="483"/>
      <c r="I169" s="483"/>
      <c r="J169" s="483"/>
      <c r="K169" s="483"/>
      <c r="L169" s="483"/>
      <c r="M169" s="483"/>
      <c r="N169" s="483">
        <f t="shared" si="8"/>
        <v>0.5475002803836991</v>
      </c>
      <c r="O169" s="483">
        <f t="shared" si="6"/>
        <v>80746.66666666667</v>
      </c>
      <c r="P169" s="483"/>
    </row>
    <row r="170" spans="1:16" ht="12.75">
      <c r="A170" s="490" t="s">
        <v>511</v>
      </c>
      <c r="B170" s="492" t="s">
        <v>123</v>
      </c>
      <c r="C170" s="492">
        <f>SUM(C165:C169)</f>
        <v>1257292.81</v>
      </c>
      <c r="D170" s="492"/>
      <c r="E170" s="492"/>
      <c r="F170" s="492">
        <f>SUM(F165:F169)</f>
        <v>648663.4</v>
      </c>
      <c r="G170" s="492"/>
      <c r="H170" s="492"/>
      <c r="I170" s="492">
        <f>SUM(I165:I169)</f>
        <v>284734.41</v>
      </c>
      <c r="J170" s="492"/>
      <c r="K170" s="492">
        <f>SUM(K165:K169)</f>
        <v>323895</v>
      </c>
      <c r="L170" s="492">
        <v>3170000</v>
      </c>
      <c r="M170" s="492"/>
      <c r="N170" s="492">
        <f t="shared" si="8"/>
        <v>11.366713441205563</v>
      </c>
      <c r="O170" s="483">
        <f t="shared" si="6"/>
        <v>1676390.4133333333</v>
      </c>
      <c r="P170" s="506">
        <v>2270000</v>
      </c>
    </row>
    <row r="171" spans="1:16" ht="12.75">
      <c r="A171" s="485">
        <v>5131</v>
      </c>
      <c r="B171" s="483" t="s">
        <v>512</v>
      </c>
      <c r="C171" s="483">
        <v>31680</v>
      </c>
      <c r="D171" s="483"/>
      <c r="E171" s="483"/>
      <c r="F171" s="483">
        <v>31680</v>
      </c>
      <c r="G171" s="483"/>
      <c r="H171" s="483"/>
      <c r="I171" s="483"/>
      <c r="J171" s="483"/>
      <c r="K171" s="483"/>
      <c r="L171" s="483"/>
      <c r="M171" s="483">
        <v>40.66160283911672</v>
      </c>
      <c r="N171" s="483">
        <f t="shared" si="8"/>
        <v>0.28640701589424683</v>
      </c>
      <c r="O171" s="483">
        <f t="shared" si="6"/>
        <v>42240</v>
      </c>
      <c r="P171" s="483"/>
    </row>
    <row r="172" spans="1:16" ht="12.75">
      <c r="A172" s="486" t="s">
        <v>513</v>
      </c>
      <c r="B172" s="487" t="s">
        <v>514</v>
      </c>
      <c r="C172" s="487">
        <v>4780435.25</v>
      </c>
      <c r="D172" s="487"/>
      <c r="E172" s="487"/>
      <c r="F172" s="487">
        <v>4171805.84</v>
      </c>
      <c r="G172" s="487"/>
      <c r="H172" s="487"/>
      <c r="I172" s="487">
        <v>284734.41</v>
      </c>
      <c r="J172" s="487"/>
      <c r="K172" s="487">
        <v>323895</v>
      </c>
      <c r="L172" s="487">
        <v>10570000</v>
      </c>
      <c r="M172" s="487">
        <v>45.22644512771996</v>
      </c>
      <c r="N172" s="487">
        <f t="shared" si="8"/>
        <v>43.21812483043459</v>
      </c>
      <c r="O172" s="483">
        <f t="shared" si="6"/>
        <v>6373913.666666667</v>
      </c>
      <c r="P172" s="511">
        <f>P164+P170</f>
        <v>5770000</v>
      </c>
    </row>
    <row r="173" spans="1:17" ht="12.75">
      <c r="A173" s="485">
        <v>512511</v>
      </c>
      <c r="B173" s="483" t="s">
        <v>126</v>
      </c>
      <c r="C173" s="483">
        <v>1045301.96</v>
      </c>
      <c r="D173" s="483"/>
      <c r="E173" s="483"/>
      <c r="F173" s="483">
        <v>843260</v>
      </c>
      <c r="G173" s="483"/>
      <c r="H173" s="483"/>
      <c r="I173" s="483"/>
      <c r="J173" s="483"/>
      <c r="K173" s="483">
        <v>202041.96</v>
      </c>
      <c r="L173" s="483"/>
      <c r="M173" s="483"/>
      <c r="N173" s="483">
        <f t="shared" si="8"/>
        <v>9.45018355656589</v>
      </c>
      <c r="O173" s="483">
        <f aca="true" t="shared" si="9" ref="O173:O217">C173/3*4</f>
        <v>1393735.9466666665</v>
      </c>
      <c r="P173" s="483"/>
      <c r="Q173" s="505"/>
    </row>
    <row r="174" spans="1:17" ht="12.75">
      <c r="A174" s="485">
        <v>512521</v>
      </c>
      <c r="B174" s="483" t="s">
        <v>127</v>
      </c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>
        <f t="shared" si="8"/>
        <v>0</v>
      </c>
      <c r="O174" s="483">
        <f t="shared" si="9"/>
        <v>0</v>
      </c>
      <c r="P174" s="483"/>
      <c r="Q174" s="505"/>
    </row>
    <row r="175" spans="1:16" ht="12.75">
      <c r="A175" s="486">
        <v>5125</v>
      </c>
      <c r="B175" s="487" t="s">
        <v>128</v>
      </c>
      <c r="C175" s="487">
        <v>1045301.96</v>
      </c>
      <c r="D175" s="487"/>
      <c r="E175" s="487"/>
      <c r="F175" s="487">
        <v>843260</v>
      </c>
      <c r="G175" s="487"/>
      <c r="H175" s="487"/>
      <c r="I175" s="487"/>
      <c r="J175" s="487"/>
      <c r="K175" s="487">
        <v>202041.96</v>
      </c>
      <c r="L175" s="487">
        <v>8170000</v>
      </c>
      <c r="M175" s="487">
        <v>12.794393635250918</v>
      </c>
      <c r="N175" s="487">
        <f t="shared" si="8"/>
        <v>9.45018355656589</v>
      </c>
      <c r="O175" s="483">
        <f t="shared" si="9"/>
        <v>1393735.9466666665</v>
      </c>
      <c r="P175" s="511">
        <f>350000+1700000+1850000</f>
        <v>3900000</v>
      </c>
    </row>
    <row r="176" spans="1:16" ht="12.75">
      <c r="A176" s="485">
        <v>515111</v>
      </c>
      <c r="B176" s="483" t="s">
        <v>515</v>
      </c>
      <c r="C176" s="483">
        <v>295000</v>
      </c>
      <c r="D176" s="483"/>
      <c r="E176" s="483"/>
      <c r="F176" s="483"/>
      <c r="G176" s="483"/>
      <c r="H176" s="483"/>
      <c r="I176" s="483">
        <v>295000</v>
      </c>
      <c r="J176" s="483"/>
      <c r="K176" s="483"/>
      <c r="L176" s="483"/>
      <c r="M176" s="483"/>
      <c r="N176" s="483">
        <f t="shared" si="8"/>
        <v>2.6669845230051394</v>
      </c>
      <c r="O176" s="483">
        <f t="shared" si="9"/>
        <v>393333.3333333333</v>
      </c>
      <c r="P176" s="483"/>
    </row>
    <row r="177" spans="1:16" ht="12.75">
      <c r="A177" s="486">
        <v>5151</v>
      </c>
      <c r="B177" s="487" t="s">
        <v>516</v>
      </c>
      <c r="C177" s="487">
        <v>295000</v>
      </c>
      <c r="D177" s="487"/>
      <c r="E177" s="487"/>
      <c r="F177" s="487"/>
      <c r="G177" s="487"/>
      <c r="H177" s="487"/>
      <c r="I177" s="487">
        <v>295000</v>
      </c>
      <c r="J177" s="487"/>
      <c r="K177" s="487"/>
      <c r="L177" s="487"/>
      <c r="M177" s="487"/>
      <c r="N177" s="487">
        <f t="shared" si="8"/>
        <v>2.6669845230051394</v>
      </c>
      <c r="O177" s="483">
        <f t="shared" si="9"/>
        <v>393333.3333333333</v>
      </c>
      <c r="P177" s="511">
        <v>295000</v>
      </c>
    </row>
    <row r="178" spans="1:16" ht="12.75">
      <c r="A178" s="485"/>
      <c r="B178" s="483" t="s">
        <v>517</v>
      </c>
      <c r="C178" s="483">
        <v>11061181.55</v>
      </c>
      <c r="D178" s="483">
        <v>0</v>
      </c>
      <c r="E178" s="483">
        <v>0</v>
      </c>
      <c r="F178" s="483">
        <v>7135510.18</v>
      </c>
      <c r="G178" s="483">
        <v>0</v>
      </c>
      <c r="H178" s="483">
        <v>0</v>
      </c>
      <c r="I178" s="483">
        <v>579734.4099999999</v>
      </c>
      <c r="J178" s="483">
        <v>2820000</v>
      </c>
      <c r="K178" s="483">
        <v>525936.96</v>
      </c>
      <c r="L178" s="483">
        <v>40233350</v>
      </c>
      <c r="M178" s="483">
        <v>27.4925691000128</v>
      </c>
      <c r="N178" s="483">
        <f t="shared" si="8"/>
        <v>100</v>
      </c>
      <c r="O178" s="483">
        <f t="shared" si="9"/>
        <v>14748242.066666668</v>
      </c>
      <c r="P178" s="511">
        <f>P160+P162+P172+P175+P177</f>
        <v>30298350</v>
      </c>
    </row>
    <row r="179" spans="1:16" ht="12.75">
      <c r="A179" s="499"/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3">
        <f t="shared" si="9"/>
        <v>0</v>
      </c>
      <c r="P179" s="483"/>
    </row>
    <row r="180" spans="1:16" ht="12.75">
      <c r="A180" s="499"/>
      <c r="B180" s="483" t="s">
        <v>518</v>
      </c>
      <c r="C180" s="483">
        <v>438763374.58</v>
      </c>
      <c r="D180" s="483">
        <v>391064325.34999996</v>
      </c>
      <c r="E180" s="483">
        <v>2626297.7</v>
      </c>
      <c r="F180" s="483">
        <v>33618819.67999999</v>
      </c>
      <c r="G180" s="483">
        <v>2366740.3400000003</v>
      </c>
      <c r="H180" s="483">
        <v>5031117.63</v>
      </c>
      <c r="I180" s="483">
        <v>579734.4099999999</v>
      </c>
      <c r="J180" s="483">
        <v>2950402.51</v>
      </c>
      <c r="K180" s="483">
        <v>525936.96</v>
      </c>
      <c r="L180" s="483">
        <v>634993350</v>
      </c>
      <c r="M180" s="483">
        <v>69.09731803962987</v>
      </c>
      <c r="N180" s="481"/>
      <c r="O180" s="483">
        <f t="shared" si="9"/>
        <v>585017832.7733333</v>
      </c>
      <c r="P180" s="512">
        <f>P178+P153</f>
        <v>640456150</v>
      </c>
    </row>
    <row r="181" spans="1:16" ht="12.75">
      <c r="A181" s="499"/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3">
        <f t="shared" si="9"/>
        <v>0</v>
      </c>
      <c r="P181" s="483"/>
    </row>
    <row r="182" spans="1:16" ht="12.75">
      <c r="A182" s="499"/>
      <c r="B182" s="483" t="s">
        <v>519</v>
      </c>
      <c r="C182" s="483">
        <v>5333552.629999995</v>
      </c>
      <c r="D182" s="483">
        <v>-826246.2099999785</v>
      </c>
      <c r="E182" s="483">
        <v>2026684.2999999998</v>
      </c>
      <c r="F182" s="483">
        <v>3642253.330000013</v>
      </c>
      <c r="G182" s="483">
        <v>-637504.9000000004</v>
      </c>
      <c r="H182" s="483">
        <v>742237.4800000004</v>
      </c>
      <c r="I182" s="483">
        <v>-579734.4099999999</v>
      </c>
      <c r="J182" s="483">
        <v>-820000</v>
      </c>
      <c r="K182" s="483">
        <v>1785863.04</v>
      </c>
      <c r="L182" s="483">
        <v>0</v>
      </c>
      <c r="M182" s="481"/>
      <c r="N182" s="481"/>
      <c r="O182" s="483">
        <f t="shared" si="9"/>
        <v>7111403.50666666</v>
      </c>
      <c r="P182" s="483"/>
    </row>
    <row r="183" spans="1:16" ht="12.75">
      <c r="A183" s="481"/>
      <c r="B183" s="481"/>
      <c r="C183" s="481"/>
      <c r="D183" s="482" t="s">
        <v>455</v>
      </c>
      <c r="E183" s="482"/>
      <c r="F183" s="482"/>
      <c r="G183" s="482"/>
      <c r="H183" s="481"/>
      <c r="I183" s="481"/>
      <c r="J183" s="481"/>
      <c r="K183" s="481"/>
      <c r="L183" s="481"/>
      <c r="M183" s="481"/>
      <c r="N183" s="481"/>
      <c r="O183" s="483"/>
      <c r="P183" s="483"/>
    </row>
    <row r="184" spans="1:16" ht="12.75">
      <c r="A184" s="482" t="s">
        <v>520</v>
      </c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  <c r="M184" s="481"/>
      <c r="N184" s="481"/>
      <c r="O184" s="483"/>
      <c r="P184" s="483"/>
    </row>
    <row r="185" spans="1:16" ht="29.25">
      <c r="A185" s="483" t="s">
        <v>0</v>
      </c>
      <c r="B185" s="483" t="s">
        <v>1</v>
      </c>
      <c r="C185" s="483" t="s">
        <v>2</v>
      </c>
      <c r="D185" s="483" t="s">
        <v>403</v>
      </c>
      <c r="E185" s="483" t="s">
        <v>4</v>
      </c>
      <c r="F185" s="484" t="s">
        <v>457</v>
      </c>
      <c r="G185" s="483" t="s">
        <v>6</v>
      </c>
      <c r="H185" s="484" t="s">
        <v>458</v>
      </c>
      <c r="I185" s="483" t="s">
        <v>191</v>
      </c>
      <c r="J185" s="483" t="s">
        <v>459</v>
      </c>
      <c r="K185" s="484" t="s">
        <v>460</v>
      </c>
      <c r="L185" s="483" t="s">
        <v>201</v>
      </c>
      <c r="M185" s="484" t="s">
        <v>461</v>
      </c>
      <c r="N185" s="484" t="s">
        <v>208</v>
      </c>
      <c r="O185" s="483" t="e">
        <f t="shared" si="9"/>
        <v>#VALUE!</v>
      </c>
      <c r="P185" s="483"/>
    </row>
    <row r="186" spans="1:16" ht="12.75">
      <c r="A186" s="485">
        <v>733161</v>
      </c>
      <c r="B186" s="483" t="s">
        <v>521</v>
      </c>
      <c r="C186" s="483">
        <v>2130402.51</v>
      </c>
      <c r="D186" s="483"/>
      <c r="E186" s="483"/>
      <c r="F186" s="483"/>
      <c r="G186" s="483"/>
      <c r="H186" s="483"/>
      <c r="I186" s="483"/>
      <c r="J186" s="483">
        <v>2130402.51</v>
      </c>
      <c r="K186" s="483"/>
      <c r="L186" s="483">
        <v>13978350</v>
      </c>
      <c r="M186" s="483">
        <v>15.240729485239672</v>
      </c>
      <c r="N186" s="483">
        <f>C186*100/444096249.24</f>
        <v>0.47971639338225536</v>
      </c>
      <c r="O186" s="483">
        <f t="shared" si="9"/>
        <v>2840536.6799999997</v>
      </c>
      <c r="P186" s="483"/>
    </row>
    <row r="187" spans="1:17" ht="12.75">
      <c r="A187" s="486">
        <v>7331</v>
      </c>
      <c r="B187" s="487" t="s">
        <v>522</v>
      </c>
      <c r="C187" s="487">
        <v>2130402.51</v>
      </c>
      <c r="D187" s="487"/>
      <c r="E187" s="487"/>
      <c r="F187" s="487"/>
      <c r="G187" s="487"/>
      <c r="H187" s="487"/>
      <c r="I187" s="487"/>
      <c r="J187" s="487">
        <v>2130402.51</v>
      </c>
      <c r="K187" s="487"/>
      <c r="L187" s="487">
        <v>13978350</v>
      </c>
      <c r="M187" s="487">
        <v>15.240729485239672</v>
      </c>
      <c r="N187" s="487">
        <f aca="true" t="shared" si="10" ref="N187:N216">C187*100/444096249.24</f>
        <v>0.47971639338225536</v>
      </c>
      <c r="O187" s="483"/>
      <c r="P187" s="507">
        <v>13978350</v>
      </c>
      <c r="Q187" s="505"/>
    </row>
    <row r="188" spans="1:16" ht="19.5">
      <c r="A188" s="485">
        <v>741411</v>
      </c>
      <c r="B188" s="484" t="s">
        <v>523</v>
      </c>
      <c r="C188" s="483">
        <v>630228</v>
      </c>
      <c r="D188" s="483"/>
      <c r="E188" s="483"/>
      <c r="F188" s="483">
        <v>630228</v>
      </c>
      <c r="G188" s="483"/>
      <c r="H188" s="483"/>
      <c r="I188" s="483"/>
      <c r="J188" s="483"/>
      <c r="K188" s="483"/>
      <c r="L188" s="483">
        <v>700000</v>
      </c>
      <c r="M188" s="483">
        <v>90.03257142857143</v>
      </c>
      <c r="N188" s="483">
        <f t="shared" si="10"/>
        <v>0.14191247980106447</v>
      </c>
      <c r="O188" s="483">
        <f t="shared" si="9"/>
        <v>840304</v>
      </c>
      <c r="P188" s="483"/>
    </row>
    <row r="189" spans="1:16" ht="12.75">
      <c r="A189" s="486">
        <v>7414</v>
      </c>
      <c r="B189" s="487" t="s">
        <v>524</v>
      </c>
      <c r="C189" s="487">
        <v>630228</v>
      </c>
      <c r="D189" s="487"/>
      <c r="E189" s="487"/>
      <c r="F189" s="487">
        <v>630228</v>
      </c>
      <c r="G189" s="487"/>
      <c r="H189" s="487"/>
      <c r="I189" s="487"/>
      <c r="J189" s="487"/>
      <c r="K189" s="487"/>
      <c r="L189" s="487">
        <v>700000</v>
      </c>
      <c r="M189" s="487">
        <v>90.03257142857143</v>
      </c>
      <c r="N189" s="487">
        <f t="shared" si="10"/>
        <v>0.14191247980106447</v>
      </c>
      <c r="O189" s="483">
        <f t="shared" si="9"/>
        <v>840304</v>
      </c>
      <c r="P189" s="507">
        <v>700000</v>
      </c>
    </row>
    <row r="190" spans="1:16" ht="12.75">
      <c r="A190" s="501">
        <v>74212101</v>
      </c>
      <c r="B190" s="483" t="s">
        <v>140</v>
      </c>
      <c r="C190" s="483">
        <v>1170409</v>
      </c>
      <c r="D190" s="483"/>
      <c r="E190" s="483"/>
      <c r="F190" s="483">
        <v>1170409</v>
      </c>
      <c r="G190" s="483"/>
      <c r="H190" s="483"/>
      <c r="I190" s="483"/>
      <c r="J190" s="483"/>
      <c r="K190" s="483"/>
      <c r="L190" s="483">
        <v>1760000</v>
      </c>
      <c r="M190" s="483">
        <v>66.50051136363636</v>
      </c>
      <c r="N190" s="483">
        <f t="shared" si="10"/>
        <v>0.26354849922803186</v>
      </c>
      <c r="O190" s="483">
        <f t="shared" si="9"/>
        <v>1560545.3333333333</v>
      </c>
      <c r="P190" s="483">
        <v>1760000</v>
      </c>
    </row>
    <row r="191" spans="1:16" ht="12.75">
      <c r="A191" s="501">
        <v>74212102</v>
      </c>
      <c r="B191" s="483" t="s">
        <v>142</v>
      </c>
      <c r="C191" s="483">
        <v>11800199.48</v>
      </c>
      <c r="D191" s="483"/>
      <c r="E191" s="483"/>
      <c r="F191" s="483">
        <v>11800199.48</v>
      </c>
      <c r="G191" s="483"/>
      <c r="H191" s="483"/>
      <c r="I191" s="483"/>
      <c r="J191" s="483"/>
      <c r="K191" s="483"/>
      <c r="L191" s="483">
        <v>14400000</v>
      </c>
      <c r="M191" s="483">
        <v>81.94582972222223</v>
      </c>
      <c r="N191" s="483">
        <f t="shared" si="10"/>
        <v>2.6571265801488217</v>
      </c>
      <c r="O191" s="483">
        <f t="shared" si="9"/>
        <v>15733599.306666667</v>
      </c>
      <c r="P191" s="483">
        <v>14400000</v>
      </c>
    </row>
    <row r="192" spans="1:16" ht="12.75">
      <c r="A192" s="501">
        <v>74212103</v>
      </c>
      <c r="B192" s="483" t="s">
        <v>139</v>
      </c>
      <c r="C192" s="483">
        <v>4159030</v>
      </c>
      <c r="D192" s="483"/>
      <c r="E192" s="483"/>
      <c r="F192" s="483">
        <v>4159030</v>
      </c>
      <c r="G192" s="483"/>
      <c r="H192" s="483"/>
      <c r="I192" s="483"/>
      <c r="J192" s="483"/>
      <c r="K192" s="483"/>
      <c r="L192" s="483">
        <v>9240000</v>
      </c>
      <c r="M192" s="483">
        <v>45.011147186147184</v>
      </c>
      <c r="N192" s="483">
        <f t="shared" si="10"/>
        <v>0.9365154529265936</v>
      </c>
      <c r="O192" s="483">
        <f t="shared" si="9"/>
        <v>5545373.333333333</v>
      </c>
      <c r="P192" s="483">
        <v>7200000</v>
      </c>
    </row>
    <row r="193" spans="1:16" ht="12.75">
      <c r="A193" s="501">
        <v>74212104</v>
      </c>
      <c r="B193" s="483" t="s">
        <v>141</v>
      </c>
      <c r="C193" s="483">
        <v>240680.92</v>
      </c>
      <c r="D193" s="483"/>
      <c r="E193" s="483"/>
      <c r="F193" s="483">
        <v>240680.92</v>
      </c>
      <c r="G193" s="483"/>
      <c r="H193" s="483"/>
      <c r="I193" s="483"/>
      <c r="J193" s="483"/>
      <c r="K193" s="483"/>
      <c r="L193" s="483">
        <v>500000</v>
      </c>
      <c r="M193" s="483">
        <v>48.136184</v>
      </c>
      <c r="N193" s="483">
        <f t="shared" si="10"/>
        <v>0.05419566600976411</v>
      </c>
      <c r="O193" s="483">
        <f t="shared" si="9"/>
        <v>320907.89333333337</v>
      </c>
      <c r="P193" s="483">
        <v>320000</v>
      </c>
    </row>
    <row r="194" spans="1:16" ht="12.75">
      <c r="A194" s="501">
        <v>74212105</v>
      </c>
      <c r="B194" s="483" t="s">
        <v>143</v>
      </c>
      <c r="C194" s="483">
        <v>288950.91</v>
      </c>
      <c r="D194" s="483"/>
      <c r="E194" s="483"/>
      <c r="F194" s="483">
        <v>288950.91</v>
      </c>
      <c r="G194" s="483"/>
      <c r="H194" s="483"/>
      <c r="I194" s="483"/>
      <c r="J194" s="483"/>
      <c r="K194" s="483"/>
      <c r="L194" s="483">
        <v>500000</v>
      </c>
      <c r="M194" s="483">
        <v>57.790181999999994</v>
      </c>
      <c r="N194" s="483">
        <f t="shared" si="10"/>
        <v>0.06506492916670506</v>
      </c>
      <c r="O194" s="483">
        <f t="shared" si="9"/>
        <v>385267.87999999995</v>
      </c>
      <c r="P194" s="483">
        <v>400000</v>
      </c>
    </row>
    <row r="195" spans="1:16" ht="12.75">
      <c r="A195" s="501">
        <v>74212106</v>
      </c>
      <c r="B195" s="483" t="s">
        <v>144</v>
      </c>
      <c r="C195" s="483">
        <v>139690</v>
      </c>
      <c r="D195" s="483"/>
      <c r="E195" s="483"/>
      <c r="F195" s="483">
        <v>139690</v>
      </c>
      <c r="G195" s="483"/>
      <c r="H195" s="483"/>
      <c r="I195" s="483"/>
      <c r="J195" s="483"/>
      <c r="K195" s="483"/>
      <c r="L195" s="483"/>
      <c r="M195" s="483"/>
      <c r="N195" s="483">
        <f t="shared" si="10"/>
        <v>0.03145489299651983</v>
      </c>
      <c r="O195" s="483">
        <f t="shared" si="9"/>
        <v>186253.33333333334</v>
      </c>
      <c r="P195" s="483">
        <v>200000</v>
      </c>
    </row>
    <row r="196" spans="1:16" ht="19.5">
      <c r="A196" s="501">
        <v>74212107</v>
      </c>
      <c r="B196" s="484" t="s">
        <v>525</v>
      </c>
      <c r="C196" s="483">
        <v>16998426.3</v>
      </c>
      <c r="D196" s="483"/>
      <c r="E196" s="483"/>
      <c r="F196" s="483">
        <v>16998426.3</v>
      </c>
      <c r="G196" s="483"/>
      <c r="H196" s="483"/>
      <c r="I196" s="483"/>
      <c r="J196" s="483"/>
      <c r="K196" s="483"/>
      <c r="L196" s="483"/>
      <c r="M196" s="483"/>
      <c r="N196" s="483">
        <f t="shared" si="10"/>
        <v>3.8276446443963668</v>
      </c>
      <c r="O196" s="483">
        <f t="shared" si="9"/>
        <v>22664568.400000002</v>
      </c>
      <c r="P196" s="483"/>
    </row>
    <row r="197" spans="1:16" ht="19.5">
      <c r="A197" s="501">
        <v>74212108</v>
      </c>
      <c r="B197" s="484" t="s">
        <v>526</v>
      </c>
      <c r="C197" s="483">
        <v>462362.88</v>
      </c>
      <c r="D197" s="483"/>
      <c r="E197" s="483"/>
      <c r="F197" s="483">
        <v>462362.88</v>
      </c>
      <c r="G197" s="483"/>
      <c r="H197" s="483"/>
      <c r="I197" s="483"/>
      <c r="J197" s="483"/>
      <c r="K197" s="483"/>
      <c r="L197" s="483">
        <v>34732000</v>
      </c>
      <c r="M197" s="483">
        <v>1.3312302199700565</v>
      </c>
      <c r="N197" s="483">
        <f t="shared" si="10"/>
        <v>0.10411321437442006</v>
      </c>
      <c r="O197" s="483">
        <f t="shared" si="9"/>
        <v>616483.84</v>
      </c>
      <c r="P197" s="483">
        <v>34000000</v>
      </c>
    </row>
    <row r="198" spans="1:16" ht="12.75">
      <c r="A198" s="501">
        <v>74212109</v>
      </c>
      <c r="B198" s="483" t="s">
        <v>527</v>
      </c>
      <c r="C198" s="483">
        <v>1005062</v>
      </c>
      <c r="D198" s="483"/>
      <c r="E198" s="483"/>
      <c r="F198" s="483">
        <v>1005062</v>
      </c>
      <c r="G198" s="483"/>
      <c r="H198" s="483"/>
      <c r="I198" s="483"/>
      <c r="J198" s="483"/>
      <c r="K198" s="483"/>
      <c r="L198" s="483"/>
      <c r="M198" s="483"/>
      <c r="N198" s="483">
        <f t="shared" si="10"/>
        <v>0.22631625502804933</v>
      </c>
      <c r="O198" s="483">
        <f t="shared" si="9"/>
        <v>1340082.6666666667</v>
      </c>
      <c r="P198" s="483"/>
    </row>
    <row r="199" spans="1:16" ht="12.75">
      <c r="A199" s="485">
        <v>7421611</v>
      </c>
      <c r="B199" s="483" t="s">
        <v>528</v>
      </c>
      <c r="C199" s="483">
        <v>1319035.44</v>
      </c>
      <c r="D199" s="483"/>
      <c r="E199" s="483"/>
      <c r="F199" s="483"/>
      <c r="G199" s="483">
        <v>1319035.44</v>
      </c>
      <c r="H199" s="483"/>
      <c r="I199" s="483"/>
      <c r="J199" s="483"/>
      <c r="K199" s="483"/>
      <c r="L199" s="483">
        <v>320000</v>
      </c>
      <c r="M199" s="483">
        <v>412.198575</v>
      </c>
      <c r="N199" s="483">
        <f t="shared" si="10"/>
        <v>0.29701566772007626</v>
      </c>
      <c r="O199" s="483">
        <f t="shared" si="9"/>
        <v>1758713.92</v>
      </c>
      <c r="P199" s="483">
        <v>1800000</v>
      </c>
    </row>
    <row r="200" spans="1:16" ht="12.75">
      <c r="A200" s="485">
        <v>7421612</v>
      </c>
      <c r="B200" s="483" t="s">
        <v>529</v>
      </c>
      <c r="C200" s="483">
        <v>83752.13</v>
      </c>
      <c r="D200" s="483"/>
      <c r="E200" s="483"/>
      <c r="F200" s="483">
        <v>83752.13</v>
      </c>
      <c r="G200" s="483"/>
      <c r="H200" s="483"/>
      <c r="I200" s="483"/>
      <c r="J200" s="483"/>
      <c r="K200" s="483"/>
      <c r="L200" s="483">
        <v>320000</v>
      </c>
      <c r="M200" s="483">
        <v>26.172540625</v>
      </c>
      <c r="N200" s="483">
        <f t="shared" si="10"/>
        <v>0.01885900413329958</v>
      </c>
      <c r="O200" s="483">
        <f t="shared" si="9"/>
        <v>111669.50666666667</v>
      </c>
      <c r="P200" s="483">
        <v>320000</v>
      </c>
    </row>
    <row r="201" spans="1:16" ht="12.75">
      <c r="A201" s="486">
        <v>7421</v>
      </c>
      <c r="B201" s="487" t="s">
        <v>149</v>
      </c>
      <c r="C201" s="487">
        <v>37667599.06</v>
      </c>
      <c r="D201" s="487"/>
      <c r="E201" s="487"/>
      <c r="F201" s="487">
        <v>36348563.620000005</v>
      </c>
      <c r="G201" s="487">
        <v>1319035.44</v>
      </c>
      <c r="H201" s="487"/>
      <c r="I201" s="487"/>
      <c r="J201" s="487"/>
      <c r="K201" s="487"/>
      <c r="L201" s="487">
        <v>61772000</v>
      </c>
      <c r="M201" s="487">
        <v>60.978435310496664</v>
      </c>
      <c r="N201" s="487">
        <f t="shared" si="10"/>
        <v>8.481854806128649</v>
      </c>
      <c r="O201" s="483">
        <f t="shared" si="9"/>
        <v>50223465.413333334</v>
      </c>
      <c r="P201" s="507">
        <f>P190+P191+P192+P193+P194+P195+P197+P199+P200</f>
        <v>60400000</v>
      </c>
    </row>
    <row r="202" spans="1:16" ht="12.75">
      <c r="A202" s="485">
        <v>744161</v>
      </c>
      <c r="B202" s="483" t="s">
        <v>530</v>
      </c>
      <c r="C202" s="483">
        <v>1995000</v>
      </c>
      <c r="D202" s="483"/>
      <c r="E202" s="483"/>
      <c r="F202" s="483"/>
      <c r="G202" s="483"/>
      <c r="H202" s="483"/>
      <c r="I202" s="483"/>
      <c r="J202" s="483"/>
      <c r="K202" s="483">
        <v>1995000</v>
      </c>
      <c r="L202" s="483">
        <v>2000000</v>
      </c>
      <c r="M202" s="483">
        <v>99.75</v>
      </c>
      <c r="N202" s="483">
        <f t="shared" si="10"/>
        <v>0.44922694200055163</v>
      </c>
      <c r="O202" s="483">
        <f t="shared" si="9"/>
        <v>2660000</v>
      </c>
      <c r="P202" s="483"/>
    </row>
    <row r="203" spans="1:16" ht="12.75">
      <c r="A203" s="486">
        <v>7441</v>
      </c>
      <c r="B203" s="487" t="s">
        <v>531</v>
      </c>
      <c r="C203" s="487">
        <v>1995000</v>
      </c>
      <c r="D203" s="487"/>
      <c r="E203" s="487"/>
      <c r="F203" s="487">
        <v>0</v>
      </c>
      <c r="G203" s="487"/>
      <c r="H203" s="487"/>
      <c r="I203" s="487"/>
      <c r="J203" s="487"/>
      <c r="K203" s="487">
        <v>1995000</v>
      </c>
      <c r="L203" s="487">
        <v>2000000</v>
      </c>
      <c r="M203" s="487">
        <v>99.75</v>
      </c>
      <c r="N203" s="487">
        <f t="shared" si="10"/>
        <v>0.44922694200055163</v>
      </c>
      <c r="O203" s="483">
        <f t="shared" si="9"/>
        <v>2660000</v>
      </c>
      <c r="P203" s="507">
        <v>2000000</v>
      </c>
    </row>
    <row r="204" spans="1:16" ht="12.75">
      <c r="A204" s="485">
        <v>74516101</v>
      </c>
      <c r="B204" s="483" t="s">
        <v>150</v>
      </c>
      <c r="C204" s="483">
        <v>18983.04</v>
      </c>
      <c r="D204" s="483"/>
      <c r="E204" s="483"/>
      <c r="F204" s="483">
        <v>18983.04</v>
      </c>
      <c r="G204" s="483"/>
      <c r="H204" s="483"/>
      <c r="I204" s="483"/>
      <c r="J204" s="483"/>
      <c r="K204" s="483"/>
      <c r="L204" s="483"/>
      <c r="M204" s="483"/>
      <c r="N204" s="483">
        <f t="shared" si="10"/>
        <v>0.004274532836628648</v>
      </c>
      <c r="O204" s="483">
        <f t="shared" si="9"/>
        <v>25310.72</v>
      </c>
      <c r="P204" s="483"/>
    </row>
    <row r="205" spans="1:16" ht="12.75">
      <c r="A205" s="485">
        <v>74516103</v>
      </c>
      <c r="B205" s="483" t="s">
        <v>532</v>
      </c>
      <c r="C205" s="483">
        <v>186804.53</v>
      </c>
      <c r="D205" s="483"/>
      <c r="E205" s="483"/>
      <c r="F205" s="483">
        <v>186804.53</v>
      </c>
      <c r="G205" s="483"/>
      <c r="H205" s="483"/>
      <c r="I205" s="483"/>
      <c r="J205" s="483"/>
      <c r="K205" s="483"/>
      <c r="L205" s="483"/>
      <c r="M205" s="483"/>
      <c r="N205" s="483">
        <f t="shared" si="10"/>
        <v>0.042063973816416196</v>
      </c>
      <c r="O205" s="483">
        <f t="shared" si="9"/>
        <v>249072.70666666667</v>
      </c>
      <c r="P205" s="483"/>
    </row>
    <row r="206" spans="1:16" ht="12.75">
      <c r="A206" s="485">
        <v>74516104</v>
      </c>
      <c r="B206" s="483" t="s">
        <v>533</v>
      </c>
      <c r="C206" s="483">
        <v>75815.85</v>
      </c>
      <c r="D206" s="483"/>
      <c r="E206" s="483"/>
      <c r="F206" s="483">
        <v>75815.85</v>
      </c>
      <c r="G206" s="483"/>
      <c r="H206" s="483"/>
      <c r="I206" s="483"/>
      <c r="J206" s="483"/>
      <c r="K206" s="483"/>
      <c r="L206" s="483">
        <v>1200000</v>
      </c>
      <c r="M206" s="483">
        <v>6.317987500000001</v>
      </c>
      <c r="N206" s="483">
        <f t="shared" si="10"/>
        <v>0.017071941078031342</v>
      </c>
      <c r="O206" s="483">
        <f t="shared" si="9"/>
        <v>101087.8</v>
      </c>
      <c r="P206" s="483"/>
    </row>
    <row r="207" spans="1:16" ht="19.5">
      <c r="A207" s="485">
        <v>74516105</v>
      </c>
      <c r="B207" s="484" t="s">
        <v>534</v>
      </c>
      <c r="C207" s="483">
        <v>155500</v>
      </c>
      <c r="D207" s="483"/>
      <c r="E207" s="483"/>
      <c r="F207" s="483"/>
      <c r="G207" s="483">
        <v>155500</v>
      </c>
      <c r="H207" s="483"/>
      <c r="I207" s="483"/>
      <c r="J207" s="483"/>
      <c r="K207" s="483"/>
      <c r="L207" s="483"/>
      <c r="M207" s="483"/>
      <c r="N207" s="483">
        <f t="shared" si="10"/>
        <v>0.035014932070719686</v>
      </c>
      <c r="O207" s="483">
        <f t="shared" si="9"/>
        <v>207333.33333333334</v>
      </c>
      <c r="P207" s="483"/>
    </row>
    <row r="208" spans="1:16" ht="19.5">
      <c r="A208" s="485">
        <v>74516106</v>
      </c>
      <c r="B208" s="484" t="s">
        <v>535</v>
      </c>
      <c r="C208" s="483">
        <v>254700</v>
      </c>
      <c r="D208" s="483"/>
      <c r="E208" s="483"/>
      <c r="F208" s="483"/>
      <c r="G208" s="483">
        <v>254700</v>
      </c>
      <c r="H208" s="483"/>
      <c r="I208" s="483"/>
      <c r="J208" s="483"/>
      <c r="K208" s="483"/>
      <c r="L208" s="483"/>
      <c r="M208" s="483"/>
      <c r="N208" s="483">
        <f t="shared" si="10"/>
        <v>0.05735243214413058</v>
      </c>
      <c r="O208" s="483">
        <f t="shared" si="9"/>
        <v>339600</v>
      </c>
      <c r="P208" s="483"/>
    </row>
    <row r="209" spans="1:16" ht="12.75">
      <c r="A209" s="486">
        <v>7451</v>
      </c>
      <c r="B209" s="487" t="s">
        <v>151</v>
      </c>
      <c r="C209" s="487">
        <v>691803.42</v>
      </c>
      <c r="D209" s="487"/>
      <c r="E209" s="487"/>
      <c r="F209" s="487">
        <v>281603.42000000004</v>
      </c>
      <c r="G209" s="487">
        <v>410200</v>
      </c>
      <c r="H209" s="487"/>
      <c r="I209" s="487"/>
      <c r="J209" s="487"/>
      <c r="K209" s="487"/>
      <c r="L209" s="487">
        <v>1200000</v>
      </c>
      <c r="M209" s="487">
        <v>57.650285</v>
      </c>
      <c r="N209" s="487">
        <f t="shared" si="10"/>
        <v>0.15577781194592644</v>
      </c>
      <c r="O209" s="483">
        <f t="shared" si="9"/>
        <v>922404.56</v>
      </c>
      <c r="P209" s="507">
        <v>1000000</v>
      </c>
    </row>
    <row r="210" spans="1:16" ht="12.75">
      <c r="A210" s="485">
        <v>7711111</v>
      </c>
      <c r="B210" s="483" t="s">
        <v>152</v>
      </c>
      <c r="C210" s="483">
        <v>4853116.57</v>
      </c>
      <c r="D210" s="483"/>
      <c r="E210" s="483"/>
      <c r="F210" s="483"/>
      <c r="G210" s="483"/>
      <c r="H210" s="483">
        <v>4853116.57</v>
      </c>
      <c r="I210" s="483"/>
      <c r="J210" s="483"/>
      <c r="K210" s="483"/>
      <c r="L210" s="483">
        <v>6320000</v>
      </c>
      <c r="M210" s="483">
        <v>76.78981914556962</v>
      </c>
      <c r="N210" s="483">
        <f t="shared" si="10"/>
        <v>1.0928073763976471</v>
      </c>
      <c r="O210" s="483">
        <f t="shared" si="9"/>
        <v>6470822.093333334</v>
      </c>
      <c r="P210" s="483">
        <v>6500000</v>
      </c>
    </row>
    <row r="211" spans="1:16" ht="19.5">
      <c r="A211" s="485">
        <v>7711112</v>
      </c>
      <c r="B211" s="484" t="s">
        <v>536</v>
      </c>
      <c r="C211" s="483">
        <v>741930.6</v>
      </c>
      <c r="D211" s="483">
        <v>741930.6</v>
      </c>
      <c r="E211" s="483"/>
      <c r="F211" s="483"/>
      <c r="G211" s="483"/>
      <c r="H211" s="483"/>
      <c r="I211" s="483"/>
      <c r="J211" s="483"/>
      <c r="K211" s="483"/>
      <c r="L211" s="483">
        <v>930000</v>
      </c>
      <c r="M211" s="483">
        <v>79.77748387096774</v>
      </c>
      <c r="N211" s="483">
        <f t="shared" si="10"/>
        <v>0.16706527048352604</v>
      </c>
      <c r="O211" s="483">
        <f t="shared" si="9"/>
        <v>989240.7999999999</v>
      </c>
      <c r="P211" s="483">
        <v>1000000</v>
      </c>
    </row>
    <row r="212" spans="1:16" ht="12.75">
      <c r="A212" s="485">
        <v>7711113</v>
      </c>
      <c r="B212" s="483" t="s">
        <v>537</v>
      </c>
      <c r="C212" s="483">
        <v>178001.04</v>
      </c>
      <c r="D212" s="483"/>
      <c r="E212" s="483"/>
      <c r="F212" s="483"/>
      <c r="G212" s="483"/>
      <c r="H212" s="483">
        <v>178001.04</v>
      </c>
      <c r="I212" s="483"/>
      <c r="J212" s="483"/>
      <c r="K212" s="483"/>
      <c r="L212" s="483"/>
      <c r="M212" s="483"/>
      <c r="N212" s="483">
        <f t="shared" si="10"/>
        <v>0.04008163552487111</v>
      </c>
      <c r="O212" s="483">
        <f t="shared" si="9"/>
        <v>237334.72</v>
      </c>
      <c r="P212" s="483">
        <v>300000</v>
      </c>
    </row>
    <row r="213" spans="1:16" ht="19.5">
      <c r="A213" s="485">
        <v>7711114</v>
      </c>
      <c r="B213" s="484" t="s">
        <v>538</v>
      </c>
      <c r="C213" s="483">
        <v>140899.43</v>
      </c>
      <c r="D213" s="483"/>
      <c r="E213" s="483"/>
      <c r="F213" s="483"/>
      <c r="G213" s="483"/>
      <c r="H213" s="483">
        <v>140899.43</v>
      </c>
      <c r="I213" s="483"/>
      <c r="J213" s="483"/>
      <c r="K213" s="483"/>
      <c r="L213" s="483"/>
      <c r="M213" s="483"/>
      <c r="N213" s="483">
        <f t="shared" si="10"/>
        <v>0.03172722810452169</v>
      </c>
      <c r="O213" s="483">
        <f t="shared" si="9"/>
        <v>187865.90666666665</v>
      </c>
      <c r="P213" s="483">
        <v>200000</v>
      </c>
    </row>
    <row r="214" spans="1:16" ht="12.75">
      <c r="A214" s="486">
        <v>7711</v>
      </c>
      <c r="B214" s="487" t="s">
        <v>154</v>
      </c>
      <c r="C214" s="487">
        <v>5913947.64</v>
      </c>
      <c r="D214" s="487">
        <v>741930.6</v>
      </c>
      <c r="E214" s="487"/>
      <c r="F214" s="487"/>
      <c r="G214" s="487"/>
      <c r="H214" s="487">
        <v>5172017.04</v>
      </c>
      <c r="I214" s="487"/>
      <c r="J214" s="487"/>
      <c r="K214" s="487"/>
      <c r="L214" s="487">
        <v>7250000</v>
      </c>
      <c r="M214" s="487">
        <v>81.5716915862069</v>
      </c>
      <c r="N214" s="487">
        <f t="shared" si="10"/>
        <v>1.331681510510566</v>
      </c>
      <c r="O214" s="483">
        <f t="shared" si="9"/>
        <v>7885263.52</v>
      </c>
      <c r="P214" s="507">
        <f>SUM(P210:P213)</f>
        <v>8000000</v>
      </c>
    </row>
    <row r="215" spans="1:16" ht="12.75">
      <c r="A215" s="485">
        <v>7721111</v>
      </c>
      <c r="B215" s="483" t="s">
        <v>539</v>
      </c>
      <c r="C215" s="483">
        <v>601338.07</v>
      </c>
      <c r="D215" s="483"/>
      <c r="E215" s="483"/>
      <c r="F215" s="483"/>
      <c r="G215" s="483"/>
      <c r="H215" s="483">
        <v>601338.07</v>
      </c>
      <c r="I215" s="483"/>
      <c r="J215" s="483"/>
      <c r="K215" s="483"/>
      <c r="L215" s="483"/>
      <c r="M215" s="483"/>
      <c r="N215" s="483">
        <f t="shared" si="10"/>
        <v>0.13540714901985645</v>
      </c>
      <c r="O215" s="483">
        <f t="shared" si="9"/>
        <v>801784.0933333333</v>
      </c>
      <c r="P215" s="483"/>
    </row>
    <row r="216" spans="1:16" ht="12.75">
      <c r="A216" s="486">
        <v>7721</v>
      </c>
      <c r="B216" s="487" t="s">
        <v>539</v>
      </c>
      <c r="C216" s="487">
        <v>601338.07</v>
      </c>
      <c r="D216" s="487"/>
      <c r="E216" s="487"/>
      <c r="F216" s="487"/>
      <c r="G216" s="487">
        <v>0</v>
      </c>
      <c r="H216" s="487">
        <v>601338.07</v>
      </c>
      <c r="I216" s="487"/>
      <c r="J216" s="487"/>
      <c r="K216" s="487">
        <v>0</v>
      </c>
      <c r="L216" s="487"/>
      <c r="M216" s="487"/>
      <c r="N216" s="487">
        <f t="shared" si="10"/>
        <v>0.13540714901985645</v>
      </c>
      <c r="O216" s="483">
        <f t="shared" si="9"/>
        <v>801784.0933333333</v>
      </c>
      <c r="P216" s="507">
        <v>602000</v>
      </c>
    </row>
    <row r="217" spans="1:16" ht="29.25">
      <c r="A217" s="483" t="s">
        <v>0</v>
      </c>
      <c r="B217" s="483" t="s">
        <v>1</v>
      </c>
      <c r="C217" s="483" t="s">
        <v>2</v>
      </c>
      <c r="D217" s="483" t="s">
        <v>403</v>
      </c>
      <c r="E217" s="483" t="s">
        <v>4</v>
      </c>
      <c r="F217" s="484" t="s">
        <v>457</v>
      </c>
      <c r="G217" s="483" t="s">
        <v>6</v>
      </c>
      <c r="H217" s="484" t="s">
        <v>458</v>
      </c>
      <c r="I217" s="483" t="s">
        <v>191</v>
      </c>
      <c r="J217" s="483" t="s">
        <v>459</v>
      </c>
      <c r="K217" s="484" t="s">
        <v>460</v>
      </c>
      <c r="L217" s="483" t="s">
        <v>201</v>
      </c>
      <c r="M217" s="484" t="s">
        <v>461</v>
      </c>
      <c r="N217" s="484" t="s">
        <v>208</v>
      </c>
      <c r="O217" s="483" t="e">
        <f t="shared" si="9"/>
        <v>#VALUE!</v>
      </c>
      <c r="P217" s="483"/>
    </row>
    <row r="218" spans="1:16" ht="12.75">
      <c r="A218" s="485">
        <v>781111101</v>
      </c>
      <c r="B218" s="483" t="s">
        <v>155</v>
      </c>
      <c r="C218" s="483">
        <v>282616949.49</v>
      </c>
      <c r="D218" s="483">
        <v>282616949.49</v>
      </c>
      <c r="E218" s="483"/>
      <c r="F218" s="483"/>
      <c r="G218" s="483"/>
      <c r="H218" s="483"/>
      <c r="I218" s="483"/>
      <c r="J218" s="483"/>
      <c r="K218" s="483"/>
      <c r="L218" s="483">
        <v>392673000</v>
      </c>
      <c r="M218" s="483">
        <v>71.97259538852938</v>
      </c>
      <c r="N218" s="483">
        <f>C218*100/444096249.24</f>
        <v>63.63867066512133</v>
      </c>
      <c r="O218" s="483">
        <v>392673000</v>
      </c>
      <c r="P218" s="483"/>
    </row>
    <row r="219" spans="1:16" ht="12.75">
      <c r="A219" s="485">
        <v>781111102</v>
      </c>
      <c r="B219" s="483" t="s">
        <v>156</v>
      </c>
      <c r="C219" s="483">
        <v>5704999.32</v>
      </c>
      <c r="D219" s="483">
        <v>5704999.32</v>
      </c>
      <c r="E219" s="483"/>
      <c r="F219" s="483"/>
      <c r="G219" s="483"/>
      <c r="H219" s="483"/>
      <c r="I219" s="483"/>
      <c r="J219" s="483"/>
      <c r="K219" s="483"/>
      <c r="L219" s="483">
        <v>6545000</v>
      </c>
      <c r="M219" s="483">
        <v>87.16576501145913</v>
      </c>
      <c r="N219" s="483">
        <f aca="true" t="shared" si="11" ref="N219:N240">C219*100/444096249.24</f>
        <v>1.2846312775131963</v>
      </c>
      <c r="O219" s="483">
        <v>6545000</v>
      </c>
      <c r="P219" s="483"/>
    </row>
    <row r="220" spans="1:16" ht="12.75">
      <c r="A220" s="485">
        <v>781111103</v>
      </c>
      <c r="B220" s="483" t="s">
        <v>157</v>
      </c>
      <c r="C220" s="483">
        <v>23959499.99</v>
      </c>
      <c r="D220" s="483">
        <v>23959499.99</v>
      </c>
      <c r="E220" s="483"/>
      <c r="F220" s="483"/>
      <c r="G220" s="483"/>
      <c r="H220" s="483"/>
      <c r="I220" s="483"/>
      <c r="J220" s="483"/>
      <c r="K220" s="483"/>
      <c r="L220" s="483">
        <v>29615000</v>
      </c>
      <c r="M220" s="483">
        <v>80.90325845010975</v>
      </c>
      <c r="N220" s="483">
        <f t="shared" si="11"/>
        <v>5.3951142417894475</v>
      </c>
      <c r="O220" s="483">
        <v>29615000</v>
      </c>
      <c r="P220" s="483"/>
    </row>
    <row r="221" spans="1:16" ht="12.75">
      <c r="A221" s="485">
        <v>781111104</v>
      </c>
      <c r="B221" s="483" t="s">
        <v>158</v>
      </c>
      <c r="C221" s="483">
        <v>13864624.46</v>
      </c>
      <c r="D221" s="483">
        <v>13864624.46</v>
      </c>
      <c r="E221" s="483"/>
      <c r="F221" s="483"/>
      <c r="G221" s="483"/>
      <c r="H221" s="483"/>
      <c r="I221" s="483"/>
      <c r="J221" s="483"/>
      <c r="K221" s="483"/>
      <c r="L221" s="483">
        <v>19399000</v>
      </c>
      <c r="M221" s="483">
        <v>71.47082045466261</v>
      </c>
      <c r="N221" s="483">
        <f t="shared" si="11"/>
        <v>3.1219863900510525</v>
      </c>
      <c r="O221" s="483">
        <f>27228000-7829000</f>
        <v>19399000</v>
      </c>
      <c r="P221" s="483"/>
    </row>
    <row r="222" spans="1:16" ht="12.75">
      <c r="A222" s="485">
        <v>781111105</v>
      </c>
      <c r="B222" s="483" t="s">
        <v>159</v>
      </c>
      <c r="C222" s="483">
        <v>7136611.48</v>
      </c>
      <c r="D222" s="483">
        <v>7136611.48</v>
      </c>
      <c r="E222" s="483"/>
      <c r="F222" s="483"/>
      <c r="G222" s="483"/>
      <c r="H222" s="483"/>
      <c r="I222" s="483"/>
      <c r="J222" s="483"/>
      <c r="K222" s="483"/>
      <c r="L222" s="483">
        <v>11028000</v>
      </c>
      <c r="M222" s="483">
        <v>64.71356075444324</v>
      </c>
      <c r="N222" s="483">
        <f t="shared" si="11"/>
        <v>1.606996567121018</v>
      </c>
      <c r="O222" s="483">
        <v>11028000</v>
      </c>
      <c r="P222" s="483"/>
    </row>
    <row r="223" spans="1:16" ht="12.75">
      <c r="A223" s="485">
        <v>781111106</v>
      </c>
      <c r="B223" s="483" t="s">
        <v>160</v>
      </c>
      <c r="C223" s="483">
        <v>7703500.03</v>
      </c>
      <c r="D223" s="483">
        <v>7703500.03</v>
      </c>
      <c r="E223" s="483"/>
      <c r="F223" s="483"/>
      <c r="G223" s="483"/>
      <c r="H223" s="483"/>
      <c r="I223" s="483"/>
      <c r="J223" s="483"/>
      <c r="K223" s="483"/>
      <c r="L223" s="483">
        <v>10051000</v>
      </c>
      <c r="M223" s="483">
        <v>76.64411531190926</v>
      </c>
      <c r="N223" s="483">
        <f t="shared" si="11"/>
        <v>1.7346464968311066</v>
      </c>
      <c r="O223" s="483">
        <v>10051000</v>
      </c>
      <c r="P223" s="483"/>
    </row>
    <row r="224" spans="1:16" ht="12.75">
      <c r="A224" s="485">
        <v>781111207</v>
      </c>
      <c r="B224" s="483" t="s">
        <v>540</v>
      </c>
      <c r="C224" s="483">
        <v>1535145.75</v>
      </c>
      <c r="D224" s="483">
        <v>1535145.75</v>
      </c>
      <c r="E224" s="483"/>
      <c r="F224" s="483"/>
      <c r="G224" s="483"/>
      <c r="H224" s="483"/>
      <c r="I224" s="483"/>
      <c r="J224" s="483"/>
      <c r="K224" s="483"/>
      <c r="L224" s="483"/>
      <c r="M224" s="483"/>
      <c r="N224" s="483">
        <f t="shared" si="11"/>
        <v>0.34567861192864324</v>
      </c>
      <c r="O224" s="483">
        <v>2050000</v>
      </c>
      <c r="P224" s="483"/>
    </row>
    <row r="225" spans="1:16" ht="12.75">
      <c r="A225" s="485">
        <v>781111312</v>
      </c>
      <c r="B225" s="483" t="s">
        <v>541</v>
      </c>
      <c r="C225" s="483">
        <v>28796622</v>
      </c>
      <c r="D225" s="483">
        <v>28796622</v>
      </c>
      <c r="E225" s="483"/>
      <c r="F225" s="483"/>
      <c r="G225" s="483"/>
      <c r="H225" s="483"/>
      <c r="I225" s="483"/>
      <c r="J225" s="483"/>
      <c r="K225" s="483"/>
      <c r="L225" s="483">
        <v>47702000</v>
      </c>
      <c r="M225" s="483">
        <v>60.36774558718712</v>
      </c>
      <c r="N225" s="483">
        <f t="shared" si="11"/>
        <v>6.48432002055429</v>
      </c>
      <c r="O225" s="508">
        <v>48256000</v>
      </c>
      <c r="P225" s="483" t="s">
        <v>559</v>
      </c>
    </row>
    <row r="226" spans="1:16" ht="12.75">
      <c r="A226" s="485">
        <v>781111301</v>
      </c>
      <c r="B226" s="483" t="s">
        <v>542</v>
      </c>
      <c r="C226" s="483">
        <v>9014583.35</v>
      </c>
      <c r="D226" s="483">
        <v>9014583.35</v>
      </c>
      <c r="E226" s="483"/>
      <c r="F226" s="483"/>
      <c r="G226" s="483"/>
      <c r="H226" s="483"/>
      <c r="I226" s="483"/>
      <c r="J226" s="483"/>
      <c r="K226" s="483"/>
      <c r="L226" s="483"/>
      <c r="M226" s="483"/>
      <c r="N226" s="483">
        <f t="shared" si="11"/>
        <v>2.029871534701548</v>
      </c>
      <c r="O226" s="483">
        <f>24002000+21635000</f>
        <v>45637000</v>
      </c>
      <c r="P226" s="483"/>
    </row>
    <row r="227" spans="1:16" ht="12.75">
      <c r="A227" s="485">
        <v>781111302</v>
      </c>
      <c r="B227" s="483" t="s">
        <v>543</v>
      </c>
      <c r="C227" s="483">
        <v>208000</v>
      </c>
      <c r="D227" s="483">
        <v>208000</v>
      </c>
      <c r="E227" s="483"/>
      <c r="F227" s="483"/>
      <c r="G227" s="483"/>
      <c r="H227" s="483"/>
      <c r="I227" s="483"/>
      <c r="J227" s="483"/>
      <c r="K227" s="483"/>
      <c r="L227" s="483"/>
      <c r="M227" s="483"/>
      <c r="N227" s="483">
        <f t="shared" si="11"/>
        <v>0.04683669370231315</v>
      </c>
      <c r="O227" s="483">
        <v>312000</v>
      </c>
      <c r="P227" s="483"/>
    </row>
    <row r="228" spans="1:16" ht="12.75">
      <c r="A228" s="485">
        <v>781111304</v>
      </c>
      <c r="B228" s="483" t="s">
        <v>544</v>
      </c>
      <c r="C228" s="483">
        <v>202416.67</v>
      </c>
      <c r="D228" s="483">
        <v>202416.67</v>
      </c>
      <c r="E228" s="483"/>
      <c r="F228" s="483"/>
      <c r="G228" s="483"/>
      <c r="H228" s="483"/>
      <c r="I228" s="483"/>
      <c r="J228" s="483"/>
      <c r="K228" s="483"/>
      <c r="L228" s="483"/>
      <c r="M228" s="483"/>
      <c r="N228" s="483">
        <f t="shared" si="11"/>
        <v>0.04557945948573173</v>
      </c>
      <c r="O228" s="483">
        <f>1361000-263000</f>
        <v>1098000</v>
      </c>
      <c r="P228" s="483"/>
    </row>
    <row r="229" spans="1:16" ht="12.75">
      <c r="A229" s="485">
        <v>781111305</v>
      </c>
      <c r="B229" s="483" t="s">
        <v>545</v>
      </c>
      <c r="C229" s="483">
        <v>95333.33</v>
      </c>
      <c r="D229" s="483">
        <v>95333.33</v>
      </c>
      <c r="E229" s="483"/>
      <c r="F229" s="483"/>
      <c r="G229" s="483"/>
      <c r="H229" s="483"/>
      <c r="I229" s="483"/>
      <c r="J229" s="483"/>
      <c r="K229" s="483"/>
      <c r="L229" s="483"/>
      <c r="M229" s="483"/>
      <c r="N229" s="483">
        <f t="shared" si="11"/>
        <v>0.02146681719630549</v>
      </c>
      <c r="O229" s="483">
        <v>579000</v>
      </c>
      <c r="P229" s="483"/>
    </row>
    <row r="230" spans="1:16" ht="12.75">
      <c r="A230" s="485">
        <v>781111306</v>
      </c>
      <c r="B230" s="483" t="s">
        <v>546</v>
      </c>
      <c r="C230" s="483">
        <v>103833.33</v>
      </c>
      <c r="D230" s="483">
        <v>103833.33</v>
      </c>
      <c r="E230" s="483"/>
      <c r="F230" s="483"/>
      <c r="G230" s="483"/>
      <c r="H230" s="483"/>
      <c r="I230" s="483"/>
      <c r="J230" s="483"/>
      <c r="K230" s="483"/>
      <c r="L230" s="483"/>
      <c r="M230" s="483"/>
      <c r="N230" s="483">
        <f t="shared" si="11"/>
        <v>0.023380816698563477</v>
      </c>
      <c r="O230" s="483">
        <v>630000</v>
      </c>
      <c r="P230" s="483"/>
    </row>
    <row r="231" spans="1:16" ht="12.75">
      <c r="A231" s="486">
        <v>7811</v>
      </c>
      <c r="B231" s="487" t="s">
        <v>406</v>
      </c>
      <c r="C231" s="487">
        <v>380942119.2</v>
      </c>
      <c r="D231" s="487">
        <v>380942119.2</v>
      </c>
      <c r="E231" s="487"/>
      <c r="F231" s="487"/>
      <c r="G231" s="487"/>
      <c r="H231" s="487"/>
      <c r="I231" s="487"/>
      <c r="J231" s="487"/>
      <c r="K231" s="487"/>
      <c r="L231" s="487">
        <v>517013000</v>
      </c>
      <c r="M231" s="487">
        <v>73.68134248075</v>
      </c>
      <c r="N231" s="487">
        <f t="shared" si="11"/>
        <v>85.77917959269455</v>
      </c>
      <c r="O231" s="507">
        <f>O218+O219+O220+O221+O222+O223+O224+O225</f>
        <v>519617000</v>
      </c>
      <c r="P231" s="507">
        <v>519617000</v>
      </c>
    </row>
    <row r="232" spans="1:16" ht="12.75">
      <c r="A232" s="485">
        <v>781111408</v>
      </c>
      <c r="B232" s="483" t="s">
        <v>162</v>
      </c>
      <c r="C232" s="483">
        <v>2950590</v>
      </c>
      <c r="D232" s="483"/>
      <c r="E232" s="483">
        <v>2950590</v>
      </c>
      <c r="F232" s="483"/>
      <c r="G232" s="483"/>
      <c r="H232" s="483"/>
      <c r="I232" s="483"/>
      <c r="J232" s="483"/>
      <c r="K232" s="483"/>
      <c r="L232" s="483"/>
      <c r="M232" s="483"/>
      <c r="N232" s="483">
        <f t="shared" si="11"/>
        <v>0.6644032695726354</v>
      </c>
      <c r="O232" s="483">
        <v>7829000</v>
      </c>
      <c r="P232" s="483"/>
    </row>
    <row r="233" spans="1:16" ht="12.75">
      <c r="A233" s="485">
        <v>781111409</v>
      </c>
      <c r="B233" s="483" t="s">
        <v>163</v>
      </c>
      <c r="C233" s="483">
        <v>177715</v>
      </c>
      <c r="D233" s="483"/>
      <c r="E233" s="483">
        <v>177715</v>
      </c>
      <c r="F233" s="483"/>
      <c r="G233" s="483"/>
      <c r="H233" s="483"/>
      <c r="I233" s="483"/>
      <c r="J233" s="483"/>
      <c r="K233" s="483"/>
      <c r="L233" s="483"/>
      <c r="M233" s="483"/>
      <c r="N233" s="483">
        <f t="shared" si="11"/>
        <v>0.04001722606397395</v>
      </c>
      <c r="O233" s="483">
        <v>263000</v>
      </c>
      <c r="P233" s="483"/>
    </row>
    <row r="234" spans="1:16" ht="12.75">
      <c r="A234" s="485">
        <v>781111410</v>
      </c>
      <c r="B234" s="483" t="s">
        <v>164</v>
      </c>
      <c r="C234" s="483">
        <v>1439330</v>
      </c>
      <c r="D234" s="483"/>
      <c r="E234" s="483">
        <v>1439330</v>
      </c>
      <c r="F234" s="483"/>
      <c r="G234" s="483"/>
      <c r="H234" s="483"/>
      <c r="I234" s="483"/>
      <c r="J234" s="483"/>
      <c r="K234" s="483"/>
      <c r="L234" s="483"/>
      <c r="M234" s="483"/>
      <c r="N234" s="483">
        <f t="shared" si="11"/>
        <v>0.3241031651276461</v>
      </c>
      <c r="O234" s="483"/>
      <c r="P234" s="483"/>
    </row>
    <row r="235" spans="1:16" ht="12.75">
      <c r="A235" s="485">
        <v>781111411</v>
      </c>
      <c r="B235" s="483" t="s">
        <v>165</v>
      </c>
      <c r="C235" s="483">
        <v>85347</v>
      </c>
      <c r="D235" s="483"/>
      <c r="E235" s="483">
        <v>85347</v>
      </c>
      <c r="F235" s="483"/>
      <c r="G235" s="483"/>
      <c r="H235" s="483"/>
      <c r="I235" s="483"/>
      <c r="J235" s="483"/>
      <c r="K235" s="483"/>
      <c r="L235" s="483"/>
      <c r="M235" s="483"/>
      <c r="N235" s="483">
        <f t="shared" si="11"/>
        <v>0.019218131237554427</v>
      </c>
      <c r="O235" s="483"/>
      <c r="P235" s="483"/>
    </row>
    <row r="236" spans="1:16" ht="12.75">
      <c r="A236" s="486">
        <v>7811</v>
      </c>
      <c r="B236" s="487" t="s">
        <v>547</v>
      </c>
      <c r="C236" s="487">
        <v>4652982</v>
      </c>
      <c r="D236" s="487"/>
      <c r="E236" s="487">
        <v>4652982</v>
      </c>
      <c r="F236" s="487"/>
      <c r="G236" s="487"/>
      <c r="H236" s="487"/>
      <c r="I236" s="487"/>
      <c r="J236" s="487"/>
      <c r="K236" s="487"/>
      <c r="L236" s="487">
        <v>8092000</v>
      </c>
      <c r="M236" s="487">
        <v>57.50101334651508</v>
      </c>
      <c r="N236" s="487">
        <f t="shared" si="11"/>
        <v>1.04774179200181</v>
      </c>
      <c r="O236" s="507">
        <f>SUM(O232:O235)</f>
        <v>8092000</v>
      </c>
      <c r="P236" s="507">
        <v>8092000</v>
      </c>
    </row>
    <row r="237" spans="1:16" ht="18.75">
      <c r="A237" s="486">
        <v>7810</v>
      </c>
      <c r="B237" s="493" t="s">
        <v>548</v>
      </c>
      <c r="C237" s="487">
        <v>8554029.34</v>
      </c>
      <c r="D237" s="487">
        <v>8554029.34</v>
      </c>
      <c r="E237" s="487"/>
      <c r="F237" s="487"/>
      <c r="G237" s="487"/>
      <c r="H237" s="487"/>
      <c r="I237" s="487"/>
      <c r="J237" s="487"/>
      <c r="K237" s="487"/>
      <c r="L237" s="487">
        <v>8638000</v>
      </c>
      <c r="M237" s="487">
        <v>99.02789233618893</v>
      </c>
      <c r="N237" s="487">
        <f t="shared" si="11"/>
        <v>1.9261656351835572</v>
      </c>
      <c r="O237" s="483">
        <f aca="true" t="shared" si="12" ref="O237:O252">C237/3*4</f>
        <v>11405372.453333333</v>
      </c>
      <c r="P237" s="532">
        <v>11400000</v>
      </c>
    </row>
    <row r="238" spans="1:16" ht="12.75">
      <c r="A238" s="485">
        <v>791111</v>
      </c>
      <c r="B238" s="483" t="s">
        <v>549</v>
      </c>
      <c r="C238" s="483">
        <v>316800</v>
      </c>
      <c r="D238" s="483"/>
      <c r="E238" s="483"/>
      <c r="F238" s="483"/>
      <c r="G238" s="483"/>
      <c r="H238" s="483"/>
      <c r="I238" s="483"/>
      <c r="J238" s="483"/>
      <c r="K238" s="483">
        <v>316800</v>
      </c>
      <c r="L238" s="483"/>
      <c r="M238" s="483"/>
      <c r="N238" s="483">
        <f t="shared" si="11"/>
        <v>0.07133588733121542</v>
      </c>
      <c r="O238" s="483">
        <f t="shared" si="12"/>
        <v>422400</v>
      </c>
      <c r="P238" s="483"/>
    </row>
    <row r="239" spans="1:16" ht="12.75">
      <c r="A239" s="486">
        <v>7911</v>
      </c>
      <c r="B239" s="487" t="s">
        <v>550</v>
      </c>
      <c r="C239" s="487">
        <v>316800</v>
      </c>
      <c r="D239" s="487"/>
      <c r="E239" s="487"/>
      <c r="F239" s="487"/>
      <c r="G239" s="487"/>
      <c r="H239" s="487"/>
      <c r="I239" s="487"/>
      <c r="J239" s="487"/>
      <c r="K239" s="487">
        <v>316800</v>
      </c>
      <c r="L239" s="487"/>
      <c r="M239" s="487"/>
      <c r="N239" s="487">
        <f t="shared" si="11"/>
        <v>0.07133588733121542</v>
      </c>
      <c r="O239" s="507">
        <v>316800</v>
      </c>
      <c r="P239" s="507">
        <v>316800</v>
      </c>
    </row>
    <row r="240" spans="1:16" ht="12.75">
      <c r="A240" s="485"/>
      <c r="B240" s="483" t="s">
        <v>560</v>
      </c>
      <c r="C240" s="483">
        <v>444096249.23999995</v>
      </c>
      <c r="D240" s="483">
        <v>390238079.14</v>
      </c>
      <c r="E240" s="483">
        <v>4652982</v>
      </c>
      <c r="F240" s="483">
        <v>37260395.04000001</v>
      </c>
      <c r="G240" s="483">
        <v>1729235.44</v>
      </c>
      <c r="H240" s="483">
        <v>5773355.11</v>
      </c>
      <c r="I240" s="483">
        <v>0</v>
      </c>
      <c r="J240" s="483">
        <v>2130402.51</v>
      </c>
      <c r="K240" s="483">
        <v>2311800</v>
      </c>
      <c r="L240" s="483">
        <v>620643350</v>
      </c>
      <c r="M240" s="483">
        <v>71.5541782957958</v>
      </c>
      <c r="N240" s="483">
        <f t="shared" si="11"/>
        <v>99.99999999999999</v>
      </c>
      <c r="O240" s="483">
        <f t="shared" si="12"/>
        <v>592128332.3199999</v>
      </c>
      <c r="P240" s="507">
        <f>P239+P236+P231+P216+P214+P209+P203+P201+P189+P187+P237</f>
        <v>626106150</v>
      </c>
    </row>
    <row r="241" spans="1:16" ht="12.75">
      <c r="A241" s="499"/>
      <c r="B241" s="492" t="s">
        <v>551</v>
      </c>
      <c r="C241" s="492">
        <f>C240*100/444096249.24</f>
        <v>99.99999999999999</v>
      </c>
      <c r="D241" s="492">
        <f aca="true" t="shared" si="13" ref="D241:K241">D240*100/444096249.24</f>
        <v>87.87241049836163</v>
      </c>
      <c r="E241" s="492">
        <f t="shared" si="13"/>
        <v>1.04774179200181</v>
      </c>
      <c r="F241" s="492">
        <f t="shared" si="13"/>
        <v>8.390162065940713</v>
      </c>
      <c r="G241" s="492">
        <f t="shared" si="13"/>
        <v>0.3893830319349265</v>
      </c>
      <c r="H241" s="492">
        <f t="shared" si="13"/>
        <v>1.3000233890468964</v>
      </c>
      <c r="I241" s="492">
        <f t="shared" si="13"/>
        <v>0</v>
      </c>
      <c r="J241" s="492">
        <f t="shared" si="13"/>
        <v>0.47971639338225536</v>
      </c>
      <c r="K241" s="492">
        <f t="shared" si="13"/>
        <v>0.520562829331767</v>
      </c>
      <c r="L241" s="481"/>
      <c r="M241" s="481"/>
      <c r="N241" s="481"/>
      <c r="O241" s="483">
        <f t="shared" si="12"/>
        <v>133.33333333333331</v>
      </c>
      <c r="P241" s="483"/>
    </row>
    <row r="242" spans="1:16" ht="12.75">
      <c r="A242" s="499"/>
      <c r="B242" s="502"/>
      <c r="C242" s="502"/>
      <c r="D242" s="502"/>
      <c r="E242" s="502"/>
      <c r="F242" s="502"/>
      <c r="G242" s="502"/>
      <c r="H242" s="502"/>
      <c r="I242" s="502"/>
      <c r="J242" s="502"/>
      <c r="K242" s="502"/>
      <c r="L242" s="481"/>
      <c r="M242" s="481"/>
      <c r="N242" s="481"/>
      <c r="O242" s="483"/>
      <c r="P242" s="483"/>
    </row>
    <row r="243" spans="1:16" ht="12.75">
      <c r="A243" s="499"/>
      <c r="B243" s="481"/>
      <c r="C243" s="481"/>
      <c r="D243" s="482" t="s">
        <v>455</v>
      </c>
      <c r="E243" s="482"/>
      <c r="F243" s="482"/>
      <c r="G243" s="482"/>
      <c r="H243" s="481"/>
      <c r="I243" s="481"/>
      <c r="J243" s="481"/>
      <c r="K243" s="481"/>
      <c r="L243" s="481"/>
      <c r="M243" s="481"/>
      <c r="N243" s="481"/>
      <c r="O243" s="483"/>
      <c r="P243" s="483"/>
    </row>
    <row r="244" spans="1:16" ht="12.75">
      <c r="A244" s="500" t="s">
        <v>552</v>
      </c>
      <c r="B244" s="481"/>
      <c r="C244" s="481"/>
      <c r="D244" s="481"/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  <c r="O244" s="483"/>
      <c r="P244" s="483"/>
    </row>
    <row r="245" spans="1:16" ht="29.25">
      <c r="A245" s="483" t="s">
        <v>0</v>
      </c>
      <c r="B245" s="483" t="s">
        <v>1</v>
      </c>
      <c r="C245" s="483" t="s">
        <v>2</v>
      </c>
      <c r="D245" s="483" t="s">
        <v>403</v>
      </c>
      <c r="E245" s="483" t="s">
        <v>4</v>
      </c>
      <c r="F245" s="484" t="s">
        <v>457</v>
      </c>
      <c r="G245" s="483" t="s">
        <v>6</v>
      </c>
      <c r="H245" s="484" t="s">
        <v>458</v>
      </c>
      <c r="I245" s="483" t="s">
        <v>191</v>
      </c>
      <c r="J245" s="483" t="s">
        <v>459</v>
      </c>
      <c r="K245" s="484" t="s">
        <v>460</v>
      </c>
      <c r="L245" s="483" t="s">
        <v>201</v>
      </c>
      <c r="M245" s="484" t="s">
        <v>461</v>
      </c>
      <c r="N245" s="484" t="s">
        <v>208</v>
      </c>
      <c r="O245" s="483" t="e">
        <f t="shared" si="12"/>
        <v>#VALUE!</v>
      </c>
      <c r="P245" s="483"/>
    </row>
    <row r="246" spans="1:16" ht="12.75">
      <c r="A246" s="485">
        <v>812161</v>
      </c>
      <c r="B246" s="483" t="s">
        <v>553</v>
      </c>
      <c r="C246" s="483">
        <v>677.97</v>
      </c>
      <c r="D246" s="483"/>
      <c r="E246" s="483"/>
      <c r="F246" s="483">
        <v>677.97</v>
      </c>
      <c r="G246" s="483"/>
      <c r="H246" s="483"/>
      <c r="I246" s="483"/>
      <c r="J246" s="483"/>
      <c r="K246" s="483"/>
      <c r="L246" s="483">
        <v>30000</v>
      </c>
      <c r="M246" s="483">
        <v>2.2599</v>
      </c>
      <c r="N246" s="483"/>
      <c r="O246" s="483">
        <f t="shared" si="12"/>
        <v>903.96</v>
      </c>
      <c r="P246" s="483"/>
    </row>
    <row r="247" spans="1:16" ht="12.75">
      <c r="A247" s="485">
        <v>8121</v>
      </c>
      <c r="B247" s="483" t="s">
        <v>553</v>
      </c>
      <c r="C247" s="483">
        <v>677.97</v>
      </c>
      <c r="D247" s="483"/>
      <c r="E247" s="483"/>
      <c r="F247" s="483">
        <v>677.97</v>
      </c>
      <c r="G247" s="483"/>
      <c r="H247" s="483"/>
      <c r="I247" s="483"/>
      <c r="J247" s="483"/>
      <c r="K247" s="483"/>
      <c r="L247" s="483">
        <v>30000</v>
      </c>
      <c r="M247" s="483">
        <v>2.2599</v>
      </c>
      <c r="N247" s="483"/>
      <c r="O247" s="483">
        <f t="shared" si="12"/>
        <v>903.96</v>
      </c>
      <c r="P247" s="483"/>
    </row>
    <row r="248" spans="1:16" ht="12.75">
      <c r="A248" s="485"/>
      <c r="B248" s="483" t="s">
        <v>554</v>
      </c>
      <c r="C248" s="483">
        <v>677.97</v>
      </c>
      <c r="D248" s="483"/>
      <c r="E248" s="483"/>
      <c r="F248" s="483">
        <v>677.97</v>
      </c>
      <c r="G248" s="483"/>
      <c r="H248" s="483"/>
      <c r="I248" s="483"/>
      <c r="J248" s="483"/>
      <c r="K248" s="483"/>
      <c r="L248" s="483">
        <v>30000</v>
      </c>
      <c r="M248" s="483">
        <v>2.2599</v>
      </c>
      <c r="N248" s="483"/>
      <c r="O248" s="483">
        <f t="shared" si="12"/>
        <v>903.96</v>
      </c>
      <c r="P248" s="483"/>
    </row>
    <row r="249" spans="1:16" ht="12.75">
      <c r="A249" s="485"/>
      <c r="B249" s="483" t="s">
        <v>555</v>
      </c>
      <c r="C249" s="483"/>
      <c r="D249" s="483"/>
      <c r="E249" s="483"/>
      <c r="F249" s="483"/>
      <c r="G249" s="483"/>
      <c r="H249" s="483"/>
      <c r="I249" s="483"/>
      <c r="J249" s="483"/>
      <c r="K249" s="483"/>
      <c r="L249" s="483">
        <v>14350000</v>
      </c>
      <c r="M249" s="483"/>
      <c r="N249" s="483"/>
      <c r="O249" s="483">
        <f t="shared" si="12"/>
        <v>0</v>
      </c>
      <c r="P249" s="507">
        <v>14350000</v>
      </c>
    </row>
    <row r="250" spans="1:16" ht="12.75">
      <c r="A250" s="485"/>
      <c r="B250" s="483" t="s">
        <v>556</v>
      </c>
      <c r="C250" s="483">
        <v>444096927.21</v>
      </c>
      <c r="D250" s="483">
        <v>390238079.14</v>
      </c>
      <c r="E250" s="483">
        <v>4652982</v>
      </c>
      <c r="F250" s="483">
        <v>37261073.010000005</v>
      </c>
      <c r="G250" s="483">
        <v>1729235.44</v>
      </c>
      <c r="H250" s="483">
        <v>5773355.11</v>
      </c>
      <c r="I250" s="483">
        <v>0</v>
      </c>
      <c r="J250" s="483">
        <v>2130402.51</v>
      </c>
      <c r="K250" s="483">
        <v>2311800</v>
      </c>
      <c r="L250" s="483">
        <v>634993350</v>
      </c>
      <c r="M250" s="483">
        <v>69.93725638386607</v>
      </c>
      <c r="N250" s="483"/>
      <c r="O250" s="483">
        <f t="shared" si="12"/>
        <v>592129236.28</v>
      </c>
      <c r="P250" s="510">
        <f>P240+P249</f>
        <v>640456150</v>
      </c>
    </row>
    <row r="251" spans="1:16" ht="12.75">
      <c r="A251" s="499"/>
      <c r="B251" s="481"/>
      <c r="C251" s="481"/>
      <c r="D251" s="481"/>
      <c r="E251" s="481"/>
      <c r="F251" s="481"/>
      <c r="G251" s="481"/>
      <c r="H251" s="481"/>
      <c r="I251" s="481"/>
      <c r="J251" s="481"/>
      <c r="K251" s="481"/>
      <c r="L251" s="481"/>
      <c r="M251" s="481"/>
      <c r="N251" s="481"/>
      <c r="O251" s="483">
        <f t="shared" si="12"/>
        <v>0</v>
      </c>
      <c r="P251" s="513">
        <f>P250-P180</f>
        <v>0</v>
      </c>
    </row>
    <row r="252" spans="1:16" ht="12.75">
      <c r="A252" s="499"/>
      <c r="B252" s="483" t="s">
        <v>519</v>
      </c>
      <c r="C252" s="483">
        <v>5333552.629999995</v>
      </c>
      <c r="D252" s="483">
        <v>-826246.2099999785</v>
      </c>
      <c r="E252" s="483">
        <v>2026684.2999999998</v>
      </c>
      <c r="F252" s="483">
        <v>3642253.330000013</v>
      </c>
      <c r="G252" s="483">
        <v>-637504.9000000004</v>
      </c>
      <c r="H252" s="483">
        <v>742237.4800000004</v>
      </c>
      <c r="I252" s="483">
        <v>-579734.4099999999</v>
      </c>
      <c r="J252" s="483">
        <v>-820000</v>
      </c>
      <c r="K252" s="483">
        <v>1785863.04</v>
      </c>
      <c r="L252" s="483">
        <v>0</v>
      </c>
      <c r="M252" s="481"/>
      <c r="N252" s="481"/>
      <c r="O252" s="483">
        <f t="shared" si="12"/>
        <v>7111403.50666666</v>
      </c>
      <c r="P252" s="510"/>
    </row>
    <row r="253" ht="12.75">
      <c r="P253" s="505"/>
    </row>
    <row r="255" ht="12.75">
      <c r="P255" s="531"/>
    </row>
    <row r="258" spans="4:6" ht="12.75">
      <c r="D258" s="536"/>
      <c r="E258" s="537" t="s">
        <v>572</v>
      </c>
      <c r="F258" s="536"/>
    </row>
    <row r="260" spans="1:14" ht="12.75">
      <c r="A260" s="481"/>
      <c r="B260" s="481"/>
      <c r="C260" s="482" t="s">
        <v>455</v>
      </c>
      <c r="D260" s="482"/>
      <c r="E260" s="482"/>
      <c r="F260" s="482"/>
      <c r="G260" s="481"/>
      <c r="H260" s="481"/>
      <c r="I260" s="481"/>
      <c r="J260" s="481"/>
      <c r="K260" s="481"/>
      <c r="L260" s="481"/>
      <c r="M260" s="481"/>
      <c r="N260" s="481"/>
    </row>
    <row r="261" spans="1:16" ht="12.75">
      <c r="A261" s="482" t="s">
        <v>456</v>
      </c>
      <c r="B261" s="481"/>
      <c r="C261" s="481"/>
      <c r="D261" s="481"/>
      <c r="E261" s="481"/>
      <c r="F261" s="481"/>
      <c r="G261" s="481"/>
      <c r="H261" s="481"/>
      <c r="I261" s="481"/>
      <c r="J261" s="481"/>
      <c r="K261" s="481"/>
      <c r="L261" s="481"/>
      <c r="M261" s="481"/>
      <c r="N261" s="481"/>
      <c r="P261" s="505"/>
    </row>
    <row r="262" spans="1:16" ht="39">
      <c r="A262" s="483" t="s">
        <v>0</v>
      </c>
      <c r="B262" s="483" t="s">
        <v>1</v>
      </c>
      <c r="C262" s="483" t="s">
        <v>2</v>
      </c>
      <c r="D262" s="483" t="s">
        <v>403</v>
      </c>
      <c r="E262" s="483" t="s">
        <v>4</v>
      </c>
      <c r="F262" s="484" t="s">
        <v>457</v>
      </c>
      <c r="G262" s="483" t="s">
        <v>6</v>
      </c>
      <c r="H262" s="484" t="s">
        <v>458</v>
      </c>
      <c r="I262" s="483" t="s">
        <v>191</v>
      </c>
      <c r="J262" s="483" t="s">
        <v>459</v>
      </c>
      <c r="K262" s="484" t="s">
        <v>460</v>
      </c>
      <c r="L262" s="483" t="s">
        <v>201</v>
      </c>
      <c r="M262" s="484" t="s">
        <v>461</v>
      </c>
      <c r="N262" s="484" t="s">
        <v>462</v>
      </c>
      <c r="O262" s="503" t="s">
        <v>557</v>
      </c>
      <c r="P262" s="504" t="s">
        <v>558</v>
      </c>
    </row>
    <row r="263" spans="1:16" ht="12.75">
      <c r="A263" s="485">
        <v>4111</v>
      </c>
      <c r="B263" s="483" t="s">
        <v>92</v>
      </c>
      <c r="C263" s="483">
        <v>279775621.21</v>
      </c>
      <c r="D263" s="483">
        <v>276569717.53</v>
      </c>
      <c r="E263" s="483"/>
      <c r="F263" s="483">
        <v>3205903.68</v>
      </c>
      <c r="G263" s="483"/>
      <c r="H263" s="483"/>
      <c r="I263" s="483"/>
      <c r="J263" s="483"/>
      <c r="K263" s="483"/>
      <c r="L263" s="483">
        <v>385529000</v>
      </c>
      <c r="M263" s="483">
        <v>72.56928044582897</v>
      </c>
      <c r="N263" s="483">
        <f aca="true" t="shared" si="14" ref="N263:N294">C263*100/427702493.03</f>
        <v>65.41360543118833</v>
      </c>
      <c r="O263" s="483">
        <f>C263/3*4</f>
        <v>373034161.6133333</v>
      </c>
      <c r="P263" s="483"/>
    </row>
    <row r="264" spans="1:16" ht="12.75">
      <c r="A264" s="485" t="s">
        <v>463</v>
      </c>
      <c r="B264" s="483" t="s">
        <v>464</v>
      </c>
      <c r="C264" s="483">
        <v>51600537.22</v>
      </c>
      <c r="D264" s="483">
        <v>49561822.01</v>
      </c>
      <c r="E264" s="483"/>
      <c r="F264" s="483">
        <v>2038715.2100000002</v>
      </c>
      <c r="G264" s="483"/>
      <c r="H264" s="483"/>
      <c r="I264" s="483"/>
      <c r="J264" s="483"/>
      <c r="K264" s="483"/>
      <c r="L264" s="483">
        <v>70804000</v>
      </c>
      <c r="M264" s="483">
        <v>72.87799731653578</v>
      </c>
      <c r="N264" s="483">
        <f t="shared" si="14"/>
        <v>12.064586496665715</v>
      </c>
      <c r="O264" s="483">
        <f aca="true" t="shared" si="15" ref="O264:O327">C264/3*4</f>
        <v>68800716.29333334</v>
      </c>
      <c r="P264" s="483"/>
    </row>
    <row r="265" spans="1:16" ht="12.75">
      <c r="A265" s="486" t="s">
        <v>465</v>
      </c>
      <c r="B265" s="487" t="s">
        <v>466</v>
      </c>
      <c r="C265" s="487">
        <v>331376158.42999995</v>
      </c>
      <c r="D265" s="487">
        <v>326131539.53999996</v>
      </c>
      <c r="E265" s="487"/>
      <c r="F265" s="487">
        <v>5244618.890000001</v>
      </c>
      <c r="G265" s="487"/>
      <c r="H265" s="487"/>
      <c r="I265" s="487"/>
      <c r="J265" s="487"/>
      <c r="K265" s="487"/>
      <c r="L265" s="487">
        <v>456333000</v>
      </c>
      <c r="M265" s="487">
        <v>72.61718053044596</v>
      </c>
      <c r="N265" s="487">
        <f t="shared" si="14"/>
        <v>77.47819192785404</v>
      </c>
      <c r="O265" s="483">
        <f t="shared" si="15"/>
        <v>441834877.9066666</v>
      </c>
      <c r="P265" s="507">
        <v>468109800</v>
      </c>
    </row>
    <row r="266" spans="1:16" ht="12.75">
      <c r="A266" s="485">
        <v>413142</v>
      </c>
      <c r="B266" s="483" t="s">
        <v>467</v>
      </c>
      <c r="C266" s="483">
        <v>271.11</v>
      </c>
      <c r="D266" s="483"/>
      <c r="E266" s="483"/>
      <c r="F266" s="483">
        <v>271.11</v>
      </c>
      <c r="G266" s="483"/>
      <c r="H266" s="483"/>
      <c r="I266" s="483"/>
      <c r="J266" s="483"/>
      <c r="K266" s="483"/>
      <c r="L266" s="483"/>
      <c r="M266" s="483"/>
      <c r="N266" s="483">
        <f t="shared" si="14"/>
        <v>6.338751922612333E-05</v>
      </c>
      <c r="O266" s="483">
        <f t="shared" si="15"/>
        <v>361.48</v>
      </c>
      <c r="P266" s="483">
        <v>700000</v>
      </c>
    </row>
    <row r="267" spans="1:16" ht="12.75">
      <c r="A267" s="485">
        <v>413151</v>
      </c>
      <c r="B267" s="483" t="s">
        <v>15</v>
      </c>
      <c r="C267" s="483">
        <v>132799.29</v>
      </c>
      <c r="D267" s="483"/>
      <c r="E267" s="483"/>
      <c r="F267" s="483"/>
      <c r="G267" s="483">
        <v>132799.29</v>
      </c>
      <c r="H267" s="483"/>
      <c r="I267" s="483"/>
      <c r="J267" s="483"/>
      <c r="K267" s="483"/>
      <c r="L267" s="483"/>
      <c r="M267" s="483"/>
      <c r="N267" s="483">
        <f t="shared" si="14"/>
        <v>0.031049454273507162</v>
      </c>
      <c r="O267" s="483">
        <f t="shared" si="15"/>
        <v>177065.72</v>
      </c>
      <c r="P267" s="483">
        <v>180000</v>
      </c>
    </row>
    <row r="268" spans="1:16" ht="12.75">
      <c r="A268" s="486">
        <v>4131</v>
      </c>
      <c r="B268" s="487" t="s">
        <v>97</v>
      </c>
      <c r="C268" s="487">
        <v>133070.4</v>
      </c>
      <c r="D268" s="487"/>
      <c r="E268" s="487"/>
      <c r="F268" s="487">
        <v>271.11</v>
      </c>
      <c r="G268" s="487">
        <v>132799.29</v>
      </c>
      <c r="H268" s="487"/>
      <c r="I268" s="487"/>
      <c r="J268" s="487"/>
      <c r="K268" s="487"/>
      <c r="L268" s="487">
        <v>180000</v>
      </c>
      <c r="M268" s="487">
        <v>73.928</v>
      </c>
      <c r="N268" s="487">
        <f t="shared" si="14"/>
        <v>0.031112841792733287</v>
      </c>
      <c r="O268" s="483">
        <f t="shared" si="15"/>
        <v>177427.19999999998</v>
      </c>
      <c r="P268" s="507">
        <f>SUM(P266:P267)</f>
        <v>880000</v>
      </c>
    </row>
    <row r="269" spans="1:16" ht="12.75">
      <c r="A269" s="485">
        <v>414111</v>
      </c>
      <c r="B269" s="483" t="s">
        <v>16</v>
      </c>
      <c r="C269" s="483">
        <v>4861341.83</v>
      </c>
      <c r="D269" s="483"/>
      <c r="E269" s="483"/>
      <c r="F269" s="483">
        <v>8225.24</v>
      </c>
      <c r="G269" s="483"/>
      <c r="H269" s="483">
        <v>4853116.59</v>
      </c>
      <c r="I269" s="483"/>
      <c r="J269" s="483"/>
      <c r="K269" s="483"/>
      <c r="L269" s="483"/>
      <c r="M269" s="483"/>
      <c r="N269" s="483">
        <f t="shared" si="14"/>
        <v>1.1366176043446665</v>
      </c>
      <c r="O269" s="483">
        <f t="shared" si="15"/>
        <v>6481789.106666666</v>
      </c>
      <c r="P269" s="483">
        <v>6500000</v>
      </c>
    </row>
    <row r="270" spans="1:16" ht="12.75">
      <c r="A270" s="485">
        <v>414121</v>
      </c>
      <c r="B270" s="483" t="s">
        <v>17</v>
      </c>
      <c r="C270" s="483">
        <v>741930.6</v>
      </c>
      <c r="D270" s="483">
        <v>741930.6</v>
      </c>
      <c r="E270" s="483"/>
      <c r="F270" s="483"/>
      <c r="G270" s="483"/>
      <c r="H270" s="483"/>
      <c r="I270" s="483"/>
      <c r="J270" s="483"/>
      <c r="K270" s="483"/>
      <c r="L270" s="483"/>
      <c r="M270" s="483"/>
      <c r="N270" s="483">
        <f t="shared" si="14"/>
        <v>0.17346885091641479</v>
      </c>
      <c r="O270" s="483">
        <f t="shared" si="15"/>
        <v>989240.7999999999</v>
      </c>
      <c r="P270" s="483">
        <v>1000000</v>
      </c>
    </row>
    <row r="271" spans="1:16" ht="12.75">
      <c r="A271" s="485">
        <v>414131</v>
      </c>
      <c r="B271" s="483" t="s">
        <v>18</v>
      </c>
      <c r="C271" s="483">
        <v>217948.79</v>
      </c>
      <c r="D271" s="483"/>
      <c r="E271" s="483"/>
      <c r="F271" s="483">
        <v>39947.75</v>
      </c>
      <c r="G271" s="483"/>
      <c r="H271" s="483">
        <v>178001.04</v>
      </c>
      <c r="I271" s="483"/>
      <c r="J271" s="483"/>
      <c r="K271" s="483"/>
      <c r="L271" s="483"/>
      <c r="M271" s="483"/>
      <c r="N271" s="483">
        <f t="shared" si="14"/>
        <v>0.05095803591322826</v>
      </c>
      <c r="O271" s="483">
        <f t="shared" si="15"/>
        <v>290598.38666666666</v>
      </c>
      <c r="P271" s="483">
        <v>300000</v>
      </c>
    </row>
    <row r="272" spans="1:16" ht="12.75">
      <c r="A272" s="488">
        <v>4141</v>
      </c>
      <c r="B272" s="489" t="s">
        <v>98</v>
      </c>
      <c r="C272" s="489">
        <v>5821221.22</v>
      </c>
      <c r="D272" s="489">
        <v>741930.6</v>
      </c>
      <c r="E272" s="489"/>
      <c r="F272" s="489">
        <v>48172.99</v>
      </c>
      <c r="G272" s="489"/>
      <c r="H272" s="489">
        <v>5031117.63</v>
      </c>
      <c r="I272" s="489"/>
      <c r="J272" s="489"/>
      <c r="K272" s="489"/>
      <c r="L272" s="489"/>
      <c r="M272" s="489"/>
      <c r="N272" s="489">
        <f t="shared" si="14"/>
        <v>1.3610444911743096</v>
      </c>
      <c r="O272" s="483">
        <f t="shared" si="15"/>
        <v>7761628.293333333</v>
      </c>
      <c r="P272" s="506">
        <f>SUM(P269:P271)</f>
        <v>7800000</v>
      </c>
    </row>
    <row r="273" spans="1:16" ht="12.75">
      <c r="A273" s="485">
        <v>414311</v>
      </c>
      <c r="B273" s="483" t="s">
        <v>19</v>
      </c>
      <c r="C273" s="483">
        <v>2493217.4</v>
      </c>
      <c r="D273" s="483">
        <v>2020195</v>
      </c>
      <c r="E273" s="483"/>
      <c r="F273" s="483">
        <v>473022.4</v>
      </c>
      <c r="G273" s="483"/>
      <c r="H273" s="483"/>
      <c r="I273" s="483"/>
      <c r="J273" s="483"/>
      <c r="K273" s="483"/>
      <c r="L273" s="483"/>
      <c r="M273" s="483"/>
      <c r="N273" s="483">
        <f t="shared" si="14"/>
        <v>0.5829326320585932</v>
      </c>
      <c r="O273" s="483">
        <f t="shared" si="15"/>
        <v>3324289.8666666667</v>
      </c>
      <c r="P273" s="483">
        <v>3300000</v>
      </c>
    </row>
    <row r="274" spans="1:16" ht="12.75">
      <c r="A274" s="485">
        <v>414314</v>
      </c>
      <c r="B274" s="483" t="s">
        <v>20</v>
      </c>
      <c r="C274" s="483">
        <v>340434</v>
      </c>
      <c r="D274" s="483"/>
      <c r="E274" s="483"/>
      <c r="F274" s="483">
        <v>340434</v>
      </c>
      <c r="G274" s="483"/>
      <c r="H274" s="483"/>
      <c r="I274" s="483"/>
      <c r="J274" s="483"/>
      <c r="K274" s="483"/>
      <c r="L274" s="483"/>
      <c r="M274" s="483"/>
      <c r="N274" s="483">
        <f t="shared" si="14"/>
        <v>0.07959598214830167</v>
      </c>
      <c r="O274" s="483">
        <f t="shared" si="15"/>
        <v>453912</v>
      </c>
      <c r="P274" s="483">
        <v>450000</v>
      </c>
    </row>
    <row r="275" spans="1:16" ht="12.75">
      <c r="A275" s="488">
        <v>4143</v>
      </c>
      <c r="B275" s="489" t="s">
        <v>99</v>
      </c>
      <c r="C275" s="489">
        <v>2833651.4</v>
      </c>
      <c r="D275" s="489">
        <v>2020195</v>
      </c>
      <c r="E275" s="489"/>
      <c r="F275" s="489">
        <v>813456.4</v>
      </c>
      <c r="G275" s="489"/>
      <c r="H275" s="489"/>
      <c r="I275" s="489"/>
      <c r="J275" s="489"/>
      <c r="K275" s="489"/>
      <c r="L275" s="489"/>
      <c r="M275" s="489"/>
      <c r="N275" s="489">
        <f t="shared" si="14"/>
        <v>0.6625286142068949</v>
      </c>
      <c r="O275" s="483">
        <f t="shared" si="15"/>
        <v>3778201.8666666667</v>
      </c>
      <c r="P275" s="533">
        <f>SUM(P273:P274)</f>
        <v>3750000</v>
      </c>
    </row>
    <row r="276" spans="1:16" ht="19.5">
      <c r="A276" s="485">
        <v>414411</v>
      </c>
      <c r="B276" s="484" t="s">
        <v>468</v>
      </c>
      <c r="C276" s="483">
        <v>13000</v>
      </c>
      <c r="D276" s="483"/>
      <c r="E276" s="483"/>
      <c r="F276" s="483">
        <v>13000</v>
      </c>
      <c r="G276" s="483"/>
      <c r="H276" s="483"/>
      <c r="I276" s="483"/>
      <c r="J276" s="483"/>
      <c r="K276" s="483"/>
      <c r="L276" s="483"/>
      <c r="M276" s="483"/>
      <c r="N276" s="483">
        <f t="shared" si="14"/>
        <v>0.0030394959608262447</v>
      </c>
      <c r="O276" s="483">
        <f t="shared" si="15"/>
        <v>17333.333333333332</v>
      </c>
      <c r="P276" s="483">
        <v>20000</v>
      </c>
    </row>
    <row r="277" spans="1:16" ht="19.5">
      <c r="A277" s="490">
        <v>4144</v>
      </c>
      <c r="B277" s="491" t="s">
        <v>468</v>
      </c>
      <c r="C277" s="492">
        <v>13000</v>
      </c>
      <c r="D277" s="492"/>
      <c r="E277" s="492"/>
      <c r="F277" s="492">
        <v>13000</v>
      </c>
      <c r="G277" s="492"/>
      <c r="H277" s="492"/>
      <c r="I277" s="492"/>
      <c r="J277" s="492"/>
      <c r="K277" s="492"/>
      <c r="L277" s="492"/>
      <c r="M277" s="492"/>
      <c r="N277" s="492">
        <f t="shared" si="14"/>
        <v>0.0030394959608262447</v>
      </c>
      <c r="O277" s="483">
        <f t="shared" si="15"/>
        <v>17333.333333333332</v>
      </c>
      <c r="P277" s="506">
        <f>SUM(P276)</f>
        <v>20000</v>
      </c>
    </row>
    <row r="278" spans="1:16" ht="18.75">
      <c r="A278" s="486" t="s">
        <v>469</v>
      </c>
      <c r="B278" s="493" t="s">
        <v>470</v>
      </c>
      <c r="C278" s="487">
        <v>8667872.62</v>
      </c>
      <c r="D278" s="487">
        <v>2762125.6</v>
      </c>
      <c r="E278" s="487"/>
      <c r="F278" s="487">
        <v>874629.39</v>
      </c>
      <c r="G278" s="487"/>
      <c r="H278" s="487">
        <v>5031117.63</v>
      </c>
      <c r="I278" s="487"/>
      <c r="J278" s="487"/>
      <c r="K278" s="487"/>
      <c r="L278" s="487">
        <v>7450000</v>
      </c>
      <c r="M278" s="487">
        <v>116.34728348993286</v>
      </c>
      <c r="N278" s="487">
        <f t="shared" si="14"/>
        <v>2.0266126013420305</v>
      </c>
      <c r="O278" s="483">
        <f t="shared" si="15"/>
        <v>11557163.493333332</v>
      </c>
      <c r="P278" s="507">
        <f>P277+P275+P272</f>
        <v>11570000</v>
      </c>
    </row>
    <row r="279" spans="1:16" ht="12.75">
      <c r="A279" s="486">
        <v>4151</v>
      </c>
      <c r="B279" s="487" t="s">
        <v>100</v>
      </c>
      <c r="C279" s="487">
        <v>7239090.63</v>
      </c>
      <c r="D279" s="487">
        <v>6780130.78</v>
      </c>
      <c r="E279" s="487"/>
      <c r="F279" s="487">
        <v>458959.85</v>
      </c>
      <c r="G279" s="487"/>
      <c r="H279" s="487"/>
      <c r="I279" s="487"/>
      <c r="J279" s="487"/>
      <c r="K279" s="487"/>
      <c r="L279" s="487">
        <v>7109000</v>
      </c>
      <c r="M279" s="487">
        <v>101.8299427486285</v>
      </c>
      <c r="N279" s="487">
        <f t="shared" si="14"/>
        <v>1.6925528253800088</v>
      </c>
      <c r="O279" s="483">
        <f t="shared" si="15"/>
        <v>9652120.84</v>
      </c>
      <c r="P279" s="507">
        <v>8800000</v>
      </c>
    </row>
    <row r="280" spans="1:16" ht="18.75">
      <c r="A280" s="486">
        <v>4161</v>
      </c>
      <c r="B280" s="493" t="s">
        <v>412</v>
      </c>
      <c r="C280" s="487">
        <v>6628561.18</v>
      </c>
      <c r="D280" s="487">
        <v>6628561.18</v>
      </c>
      <c r="E280" s="487"/>
      <c r="F280" s="487">
        <v>0</v>
      </c>
      <c r="G280" s="487"/>
      <c r="H280" s="487"/>
      <c r="I280" s="487"/>
      <c r="J280" s="487"/>
      <c r="K280" s="487"/>
      <c r="L280" s="487">
        <v>9328000</v>
      </c>
      <c r="M280" s="487">
        <v>71.06090458833619</v>
      </c>
      <c r="N280" s="487">
        <f t="shared" si="14"/>
        <v>1.5498065332845883</v>
      </c>
      <c r="O280" s="483">
        <f t="shared" si="15"/>
        <v>8838081.573333332</v>
      </c>
      <c r="P280" s="533">
        <v>10200000</v>
      </c>
    </row>
    <row r="281" spans="1:16" ht="12.75">
      <c r="A281" s="486">
        <v>4210</v>
      </c>
      <c r="B281" s="487" t="s">
        <v>413</v>
      </c>
      <c r="C281" s="487">
        <v>18750043.15</v>
      </c>
      <c r="D281" s="487">
        <v>15606920.6</v>
      </c>
      <c r="E281" s="487">
        <v>408387.75</v>
      </c>
      <c r="F281" s="487">
        <v>1182765.29</v>
      </c>
      <c r="G281" s="487">
        <v>1551969.51</v>
      </c>
      <c r="H281" s="487">
        <v>0</v>
      </c>
      <c r="I281" s="487">
        <v>0</v>
      </c>
      <c r="J281" s="487">
        <v>0</v>
      </c>
      <c r="K281" s="487">
        <v>0</v>
      </c>
      <c r="L281" s="487">
        <v>20300000</v>
      </c>
      <c r="M281" s="487">
        <v>92.36474458128077</v>
      </c>
      <c r="N281" s="487">
        <f t="shared" si="14"/>
        <v>4.3838984938263685</v>
      </c>
      <c r="O281" s="483">
        <f t="shared" si="15"/>
        <v>25000057.53333333</v>
      </c>
      <c r="P281" s="507">
        <f>P283+P286+P291+P299+P305+P310</f>
        <v>25100000</v>
      </c>
    </row>
    <row r="282" spans="1:16" ht="12.75">
      <c r="A282" s="485">
        <v>421111</v>
      </c>
      <c r="B282" s="483" t="s">
        <v>22</v>
      </c>
      <c r="C282" s="483">
        <v>1417678.66</v>
      </c>
      <c r="D282" s="483">
        <v>1142375.16</v>
      </c>
      <c r="E282" s="483"/>
      <c r="F282" s="483">
        <v>260571.36</v>
      </c>
      <c r="G282" s="483">
        <v>14732.14</v>
      </c>
      <c r="H282" s="483"/>
      <c r="I282" s="483"/>
      <c r="J282" s="483"/>
      <c r="K282" s="483"/>
      <c r="L282" s="483"/>
      <c r="M282" s="483"/>
      <c r="N282" s="483">
        <f t="shared" si="14"/>
        <v>0.3314637354476587</v>
      </c>
      <c r="O282" s="483">
        <f t="shared" si="15"/>
        <v>1890238.2133333331</v>
      </c>
      <c r="P282" s="483"/>
    </row>
    <row r="283" spans="1:16" ht="12.75">
      <c r="A283" s="488">
        <v>4211</v>
      </c>
      <c r="B283" s="489" t="s">
        <v>101</v>
      </c>
      <c r="C283" s="489">
        <v>1417678.66</v>
      </c>
      <c r="D283" s="489">
        <v>1142375.16</v>
      </c>
      <c r="E283" s="489">
        <v>0</v>
      </c>
      <c r="F283" s="489">
        <v>260571.36</v>
      </c>
      <c r="G283" s="489">
        <v>14732.14</v>
      </c>
      <c r="H283" s="489">
        <v>0</v>
      </c>
      <c r="I283" s="489">
        <v>0</v>
      </c>
      <c r="J283" s="489"/>
      <c r="K283" s="489"/>
      <c r="L283" s="489">
        <v>1600000</v>
      </c>
      <c r="M283" s="489">
        <v>88.60491625</v>
      </c>
      <c r="N283" s="489">
        <f t="shared" si="14"/>
        <v>0.3314637354476587</v>
      </c>
      <c r="O283" s="483">
        <f t="shared" si="15"/>
        <v>1890238.2133333331</v>
      </c>
      <c r="P283" s="506">
        <v>1900000</v>
      </c>
    </row>
    <row r="284" spans="1:16" ht="12.75">
      <c r="A284" s="485">
        <v>421211</v>
      </c>
      <c r="B284" s="483" t="s">
        <v>23</v>
      </c>
      <c r="C284" s="483">
        <v>5855709.77</v>
      </c>
      <c r="D284" s="483">
        <v>4565298.49</v>
      </c>
      <c r="E284" s="483"/>
      <c r="F284" s="483"/>
      <c r="G284" s="483">
        <v>1290411.28</v>
      </c>
      <c r="H284" s="483"/>
      <c r="I284" s="483"/>
      <c r="J284" s="483"/>
      <c r="K284" s="483"/>
      <c r="L284" s="483"/>
      <c r="M284" s="483"/>
      <c r="N284" s="483">
        <f t="shared" si="14"/>
        <v>1.36910816874506</v>
      </c>
      <c r="O284" s="483">
        <f t="shared" si="15"/>
        <v>7807613.026666666</v>
      </c>
      <c r="P284" s="483"/>
    </row>
    <row r="285" spans="1:16" ht="12.75">
      <c r="A285" s="485">
        <v>421225</v>
      </c>
      <c r="B285" s="483" t="s">
        <v>24</v>
      </c>
      <c r="C285" s="483">
        <v>5494947.84</v>
      </c>
      <c r="D285" s="483">
        <v>5494947.84</v>
      </c>
      <c r="E285" s="483"/>
      <c r="F285" s="483"/>
      <c r="G285" s="483"/>
      <c r="H285" s="483"/>
      <c r="I285" s="483"/>
      <c r="J285" s="483"/>
      <c r="K285" s="483"/>
      <c r="L285" s="483"/>
      <c r="M285" s="483"/>
      <c r="N285" s="483">
        <f t="shared" si="14"/>
        <v>1.2847593665100692</v>
      </c>
      <c r="O285" s="483">
        <f t="shared" si="15"/>
        <v>7326597.12</v>
      </c>
      <c r="P285" s="483"/>
    </row>
    <row r="286" spans="1:16" ht="12.75">
      <c r="A286" s="488">
        <v>4212</v>
      </c>
      <c r="B286" s="489" t="s">
        <v>102</v>
      </c>
      <c r="C286" s="489">
        <v>11350657.61</v>
      </c>
      <c r="D286" s="489">
        <v>10060246.33</v>
      </c>
      <c r="E286" s="489"/>
      <c r="F286" s="489"/>
      <c r="G286" s="489">
        <v>1290411.28</v>
      </c>
      <c r="H286" s="489"/>
      <c r="I286" s="489"/>
      <c r="J286" s="489"/>
      <c r="K286" s="489"/>
      <c r="L286" s="489">
        <v>11000000</v>
      </c>
      <c r="M286" s="489">
        <v>103.18779645454545</v>
      </c>
      <c r="N286" s="489">
        <f t="shared" si="14"/>
        <v>2.653867535255129</v>
      </c>
      <c r="O286" s="483">
        <f t="shared" si="15"/>
        <v>15134210.146666666</v>
      </c>
      <c r="P286" s="506">
        <v>15000000</v>
      </c>
    </row>
    <row r="287" spans="1:16" ht="12.75">
      <c r="A287" s="485">
        <v>421311</v>
      </c>
      <c r="B287" s="483" t="s">
        <v>25</v>
      </c>
      <c r="C287" s="483">
        <v>1786835.65</v>
      </c>
      <c r="D287" s="483">
        <v>1560910.82</v>
      </c>
      <c r="E287" s="483">
        <v>197548.91</v>
      </c>
      <c r="F287" s="483"/>
      <c r="G287" s="483">
        <v>28375.92</v>
      </c>
      <c r="H287" s="483"/>
      <c r="I287" s="483"/>
      <c r="J287" s="483"/>
      <c r="K287" s="483"/>
      <c r="L287" s="483"/>
      <c r="M287" s="483"/>
      <c r="N287" s="483">
        <f t="shared" si="14"/>
        <v>0.4177753646796413</v>
      </c>
      <c r="O287" s="483">
        <f t="shared" si="15"/>
        <v>2382447.533333333</v>
      </c>
      <c r="P287" s="483"/>
    </row>
    <row r="288" spans="1:16" ht="12.75">
      <c r="A288" s="485">
        <v>421321</v>
      </c>
      <c r="B288" s="483" t="s">
        <v>471</v>
      </c>
      <c r="C288" s="483">
        <v>125730</v>
      </c>
      <c r="D288" s="483">
        <v>125730</v>
      </c>
      <c r="E288" s="483"/>
      <c r="F288" s="483"/>
      <c r="G288" s="483"/>
      <c r="H288" s="483"/>
      <c r="I288" s="483"/>
      <c r="J288" s="483"/>
      <c r="K288" s="483"/>
      <c r="L288" s="483"/>
      <c r="M288" s="483"/>
      <c r="N288" s="483">
        <f t="shared" si="14"/>
        <v>0.029396602088821826</v>
      </c>
      <c r="O288" s="483">
        <f t="shared" si="15"/>
        <v>167640</v>
      </c>
      <c r="P288" s="483"/>
    </row>
    <row r="289" spans="1:16" ht="12.75">
      <c r="A289" s="485">
        <v>421324</v>
      </c>
      <c r="B289" s="483" t="s">
        <v>26</v>
      </c>
      <c r="C289" s="483">
        <v>1002638.21</v>
      </c>
      <c r="D289" s="483">
        <v>704593</v>
      </c>
      <c r="E289" s="483">
        <v>89586.85</v>
      </c>
      <c r="F289" s="483"/>
      <c r="G289" s="483">
        <v>208458.36</v>
      </c>
      <c r="H289" s="483"/>
      <c r="I289" s="483"/>
      <c r="J289" s="483"/>
      <c r="K289" s="483"/>
      <c r="L289" s="483"/>
      <c r="M289" s="483"/>
      <c r="N289" s="483">
        <f t="shared" si="14"/>
        <v>0.2344242145742351</v>
      </c>
      <c r="O289" s="483">
        <f t="shared" si="15"/>
        <v>1336850.9466666665</v>
      </c>
      <c r="P289" s="483"/>
    </row>
    <row r="290" spans="1:16" ht="12.75">
      <c r="A290" s="485">
        <v>421325</v>
      </c>
      <c r="B290" s="483" t="s">
        <v>472</v>
      </c>
      <c r="C290" s="483">
        <v>4500</v>
      </c>
      <c r="D290" s="483">
        <v>4500</v>
      </c>
      <c r="E290" s="483"/>
      <c r="F290" s="483"/>
      <c r="G290" s="483"/>
      <c r="H290" s="483"/>
      <c r="I290" s="483"/>
      <c r="J290" s="483"/>
      <c r="K290" s="483"/>
      <c r="L290" s="483"/>
      <c r="M290" s="483"/>
      <c r="N290" s="483">
        <f t="shared" si="14"/>
        <v>0.0010521332172090847</v>
      </c>
      <c r="O290" s="483">
        <f t="shared" si="15"/>
        <v>6000</v>
      </c>
      <c r="P290" s="483"/>
    </row>
    <row r="291" spans="1:16" ht="12.75">
      <c r="A291" s="488">
        <v>4213</v>
      </c>
      <c r="B291" s="489" t="s">
        <v>103</v>
      </c>
      <c r="C291" s="489">
        <v>2919703.86</v>
      </c>
      <c r="D291" s="489">
        <v>2395733.8200000003</v>
      </c>
      <c r="E291" s="489">
        <v>287135.76</v>
      </c>
      <c r="F291" s="489">
        <v>0</v>
      </c>
      <c r="G291" s="489">
        <v>236834.27999999997</v>
      </c>
      <c r="H291" s="489"/>
      <c r="I291" s="489"/>
      <c r="J291" s="489"/>
      <c r="K291" s="489"/>
      <c r="L291" s="489">
        <v>3700000</v>
      </c>
      <c r="M291" s="489">
        <v>78.91091513513514</v>
      </c>
      <c r="N291" s="489">
        <f t="shared" si="14"/>
        <v>0.6826483145599074</v>
      </c>
      <c r="O291" s="483">
        <f t="shared" si="15"/>
        <v>3892938.48</v>
      </c>
      <c r="P291" s="506">
        <v>3900000</v>
      </c>
    </row>
    <row r="292" spans="1:16" ht="12.75">
      <c r="A292" s="485">
        <v>421411</v>
      </c>
      <c r="B292" s="483" t="s">
        <v>27</v>
      </c>
      <c r="C292" s="483">
        <v>515041.09</v>
      </c>
      <c r="D292" s="483">
        <v>505049.28</v>
      </c>
      <c r="E292" s="483"/>
      <c r="F292" s="483"/>
      <c r="G292" s="483">
        <v>9991.81</v>
      </c>
      <c r="H292" s="483"/>
      <c r="I292" s="483"/>
      <c r="J292" s="483"/>
      <c r="K292" s="483"/>
      <c r="L292" s="483"/>
      <c r="M292" s="483"/>
      <c r="N292" s="483">
        <f t="shared" si="14"/>
        <v>0.12042040867034973</v>
      </c>
      <c r="O292" s="483">
        <f t="shared" si="15"/>
        <v>686721.4533333334</v>
      </c>
      <c r="P292" s="483"/>
    </row>
    <row r="293" spans="1:16" ht="12.75">
      <c r="A293" s="485">
        <v>421412</v>
      </c>
      <c r="B293" s="483" t="s">
        <v>28</v>
      </c>
      <c r="C293" s="483">
        <v>53100</v>
      </c>
      <c r="D293" s="483"/>
      <c r="E293" s="483"/>
      <c r="F293" s="483">
        <v>53100</v>
      </c>
      <c r="G293" s="483"/>
      <c r="H293" s="483"/>
      <c r="I293" s="483"/>
      <c r="J293" s="483"/>
      <c r="K293" s="483"/>
      <c r="L293" s="483"/>
      <c r="M293" s="483"/>
      <c r="N293" s="483">
        <f t="shared" si="14"/>
        <v>0.0124151719630672</v>
      </c>
      <c r="O293" s="483">
        <f t="shared" si="15"/>
        <v>70800</v>
      </c>
      <c r="P293" s="483"/>
    </row>
    <row r="294" spans="1:16" ht="12.75">
      <c r="A294" s="485">
        <v>421414</v>
      </c>
      <c r="B294" s="483" t="s">
        <v>29</v>
      </c>
      <c r="C294" s="483">
        <v>851740.23</v>
      </c>
      <c r="D294" s="483"/>
      <c r="E294" s="483"/>
      <c r="F294" s="483">
        <v>851740.23</v>
      </c>
      <c r="G294" s="483"/>
      <c r="H294" s="483"/>
      <c r="I294" s="483"/>
      <c r="J294" s="483"/>
      <c r="K294" s="483"/>
      <c r="L294" s="483"/>
      <c r="M294" s="483"/>
      <c r="N294" s="483">
        <f t="shared" si="14"/>
        <v>0.19914315298140128</v>
      </c>
      <c r="O294" s="483">
        <f t="shared" si="15"/>
        <v>1135653.64</v>
      </c>
      <c r="P294" s="483"/>
    </row>
    <row r="295" spans="1:16" ht="39">
      <c r="A295" s="483" t="s">
        <v>0</v>
      </c>
      <c r="B295" s="483" t="s">
        <v>1</v>
      </c>
      <c r="C295" s="483" t="s">
        <v>2</v>
      </c>
      <c r="D295" s="483" t="s">
        <v>403</v>
      </c>
      <c r="E295" s="483" t="s">
        <v>4</v>
      </c>
      <c r="F295" s="484" t="s">
        <v>457</v>
      </c>
      <c r="G295" s="483" t="s">
        <v>6</v>
      </c>
      <c r="H295" s="484" t="s">
        <v>458</v>
      </c>
      <c r="I295" s="483" t="s">
        <v>191</v>
      </c>
      <c r="J295" s="483" t="s">
        <v>459</v>
      </c>
      <c r="K295" s="484" t="s">
        <v>460</v>
      </c>
      <c r="L295" s="483" t="s">
        <v>201</v>
      </c>
      <c r="M295" s="484" t="s">
        <v>461</v>
      </c>
      <c r="N295" s="484" t="s">
        <v>462</v>
      </c>
      <c r="O295" s="483" t="e">
        <f t="shared" si="15"/>
        <v>#VALUE!</v>
      </c>
      <c r="P295" s="483"/>
    </row>
    <row r="296" spans="1:16" ht="12.75">
      <c r="A296" s="485">
        <v>421419</v>
      </c>
      <c r="B296" s="483" t="s">
        <v>473</v>
      </c>
      <c r="C296" s="483">
        <v>7698.7</v>
      </c>
      <c r="D296" s="483"/>
      <c r="E296" s="483"/>
      <c r="F296" s="483">
        <v>7698.7</v>
      </c>
      <c r="G296" s="483"/>
      <c r="H296" s="483"/>
      <c r="I296" s="483"/>
      <c r="J296" s="483"/>
      <c r="K296" s="483"/>
      <c r="L296" s="483"/>
      <c r="M296" s="483"/>
      <c r="N296" s="483">
        <f aca="true" t="shared" si="16" ref="N296:N330">C296*100/427702493.03</f>
        <v>0.0018000128887394624</v>
      </c>
      <c r="O296" s="483">
        <f t="shared" si="15"/>
        <v>10264.933333333332</v>
      </c>
      <c r="P296" s="483"/>
    </row>
    <row r="297" spans="1:16" ht="12.75">
      <c r="A297" s="485">
        <v>421421</v>
      </c>
      <c r="B297" s="483" t="s">
        <v>224</v>
      </c>
      <c r="C297" s="483">
        <v>17000</v>
      </c>
      <c r="D297" s="483">
        <v>11000</v>
      </c>
      <c r="E297" s="483"/>
      <c r="F297" s="483">
        <v>6000</v>
      </c>
      <c r="G297" s="483"/>
      <c r="H297" s="483"/>
      <c r="I297" s="483"/>
      <c r="J297" s="483"/>
      <c r="K297" s="483"/>
      <c r="L297" s="483"/>
      <c r="M297" s="483"/>
      <c r="N297" s="483">
        <f t="shared" si="16"/>
        <v>0.00397472548723432</v>
      </c>
      <c r="O297" s="483">
        <f t="shared" si="15"/>
        <v>22666.666666666668</v>
      </c>
      <c r="P297" s="483"/>
    </row>
    <row r="298" spans="1:16" ht="12.75">
      <c r="A298" s="485">
        <v>421422</v>
      </c>
      <c r="B298" s="483" t="s">
        <v>31</v>
      </c>
      <c r="C298" s="483">
        <v>176692</v>
      </c>
      <c r="D298" s="483">
        <v>173037</v>
      </c>
      <c r="E298" s="483"/>
      <c r="F298" s="483">
        <v>3655</v>
      </c>
      <c r="G298" s="483"/>
      <c r="H298" s="483"/>
      <c r="I298" s="483"/>
      <c r="J298" s="483"/>
      <c r="K298" s="483"/>
      <c r="L298" s="483"/>
      <c r="M298" s="483"/>
      <c r="N298" s="483">
        <f t="shared" si="16"/>
        <v>0.04131189387002391</v>
      </c>
      <c r="O298" s="483">
        <f t="shared" si="15"/>
        <v>235589.33333333334</v>
      </c>
      <c r="P298" s="483"/>
    </row>
    <row r="299" spans="1:16" ht="12.75">
      <c r="A299" s="488">
        <v>4214</v>
      </c>
      <c r="B299" s="489" t="s">
        <v>104</v>
      </c>
      <c r="C299" s="489">
        <v>1621272.02</v>
      </c>
      <c r="D299" s="489">
        <v>689086.28</v>
      </c>
      <c r="E299" s="489"/>
      <c r="F299" s="489">
        <v>922193.9299999999</v>
      </c>
      <c r="G299" s="489">
        <v>9991.81</v>
      </c>
      <c r="H299" s="489"/>
      <c r="I299" s="489"/>
      <c r="J299" s="489"/>
      <c r="K299" s="489"/>
      <c r="L299" s="489">
        <v>1400000</v>
      </c>
      <c r="M299" s="489">
        <v>115.80514428571429</v>
      </c>
      <c r="N299" s="489">
        <f t="shared" si="16"/>
        <v>0.3790653658608159</v>
      </c>
      <c r="O299" s="483">
        <f t="shared" si="15"/>
        <v>2161696.026666667</v>
      </c>
      <c r="P299" s="506">
        <v>2000000</v>
      </c>
    </row>
    <row r="300" spans="1:16" ht="12.75">
      <c r="A300" s="485">
        <v>421511</v>
      </c>
      <c r="B300" s="483" t="s">
        <v>474</v>
      </c>
      <c r="C300" s="483">
        <v>95235.07</v>
      </c>
      <c r="D300" s="483">
        <v>81630.06</v>
      </c>
      <c r="E300" s="483">
        <v>13605.01</v>
      </c>
      <c r="F300" s="483"/>
      <c r="G300" s="483"/>
      <c r="H300" s="483"/>
      <c r="I300" s="483"/>
      <c r="J300" s="483"/>
      <c r="K300" s="483"/>
      <c r="L300" s="483"/>
      <c r="M300" s="483"/>
      <c r="N300" s="483">
        <f t="shared" si="16"/>
        <v>0.022266662353384974</v>
      </c>
      <c r="O300" s="483">
        <f t="shared" si="15"/>
        <v>126980.09333333334</v>
      </c>
      <c r="P300" s="483"/>
    </row>
    <row r="301" spans="1:16" ht="12.75">
      <c r="A301" s="485">
        <v>421512</v>
      </c>
      <c r="B301" s="483" t="s">
        <v>32</v>
      </c>
      <c r="C301" s="483">
        <v>201308</v>
      </c>
      <c r="D301" s="483">
        <v>201308</v>
      </c>
      <c r="E301" s="483"/>
      <c r="F301" s="483"/>
      <c r="G301" s="483"/>
      <c r="H301" s="483"/>
      <c r="I301" s="483"/>
      <c r="J301" s="483"/>
      <c r="K301" s="483"/>
      <c r="L301" s="483"/>
      <c r="M301" s="483"/>
      <c r="N301" s="483">
        <f t="shared" si="16"/>
        <v>0.047067296375539205</v>
      </c>
      <c r="O301" s="483">
        <f t="shared" si="15"/>
        <v>268410.6666666667</v>
      </c>
      <c r="P301" s="483"/>
    </row>
    <row r="302" spans="1:16" ht="12.75">
      <c r="A302" s="485">
        <v>421513</v>
      </c>
      <c r="B302" s="483" t="s">
        <v>33</v>
      </c>
      <c r="C302" s="483">
        <v>649111.37</v>
      </c>
      <c r="D302" s="483">
        <v>587981.16</v>
      </c>
      <c r="E302" s="483">
        <v>61130.21</v>
      </c>
      <c r="F302" s="483"/>
      <c r="G302" s="483"/>
      <c r="H302" s="483"/>
      <c r="I302" s="483"/>
      <c r="J302" s="483"/>
      <c r="K302" s="483"/>
      <c r="L302" s="483"/>
      <c r="M302" s="483"/>
      <c r="N302" s="483">
        <f t="shared" si="16"/>
        <v>0.15176702978779924</v>
      </c>
      <c r="O302" s="483">
        <f t="shared" si="15"/>
        <v>865481.8266666667</v>
      </c>
      <c r="P302" s="483"/>
    </row>
    <row r="303" spans="1:16" ht="12.75">
      <c r="A303" s="485">
        <v>421519</v>
      </c>
      <c r="B303" s="483" t="s">
        <v>34</v>
      </c>
      <c r="C303" s="483">
        <v>104000</v>
      </c>
      <c r="D303" s="483">
        <v>104000</v>
      </c>
      <c r="E303" s="483"/>
      <c r="F303" s="483"/>
      <c r="G303" s="483"/>
      <c r="H303" s="483"/>
      <c r="I303" s="483"/>
      <c r="J303" s="483"/>
      <c r="K303" s="483"/>
      <c r="L303" s="483"/>
      <c r="M303" s="483"/>
      <c r="N303" s="483">
        <f t="shared" si="16"/>
        <v>0.024315967686609957</v>
      </c>
      <c r="O303" s="483">
        <f t="shared" si="15"/>
        <v>138666.66666666666</v>
      </c>
      <c r="P303" s="483"/>
    </row>
    <row r="304" spans="1:16" ht="12.75">
      <c r="A304" s="485">
        <v>421521</v>
      </c>
      <c r="B304" s="483" t="s">
        <v>35</v>
      </c>
      <c r="C304" s="483">
        <v>391076.56</v>
      </c>
      <c r="D304" s="483">
        <v>344559.79</v>
      </c>
      <c r="E304" s="483">
        <v>46516.77</v>
      </c>
      <c r="F304" s="483"/>
      <c r="G304" s="483"/>
      <c r="H304" s="483"/>
      <c r="I304" s="483"/>
      <c r="J304" s="483"/>
      <c r="K304" s="483"/>
      <c r="L304" s="483"/>
      <c r="M304" s="483"/>
      <c r="N304" s="483">
        <f t="shared" si="16"/>
        <v>0.09143658649952481</v>
      </c>
      <c r="O304" s="483">
        <f t="shared" si="15"/>
        <v>521435.41333333333</v>
      </c>
      <c r="P304" s="483"/>
    </row>
    <row r="305" spans="1:16" ht="12.75">
      <c r="A305" s="488">
        <v>4215</v>
      </c>
      <c r="B305" s="489" t="s">
        <v>169</v>
      </c>
      <c r="C305" s="489">
        <v>1440731</v>
      </c>
      <c r="D305" s="489">
        <v>1319479.01</v>
      </c>
      <c r="E305" s="489">
        <v>121251.98999999999</v>
      </c>
      <c r="F305" s="489">
        <v>0</v>
      </c>
      <c r="G305" s="489"/>
      <c r="H305" s="489"/>
      <c r="I305" s="489"/>
      <c r="J305" s="489"/>
      <c r="K305" s="489"/>
      <c r="L305" s="489">
        <v>2600000</v>
      </c>
      <c r="M305" s="489">
        <v>55.41273076923077</v>
      </c>
      <c r="N305" s="489">
        <f t="shared" si="16"/>
        <v>0.33685354270285817</v>
      </c>
      <c r="O305" s="483">
        <f t="shared" si="15"/>
        <v>1920974.6666666667</v>
      </c>
      <c r="P305" s="506">
        <v>2000000</v>
      </c>
    </row>
    <row r="306" spans="1:16" ht="12.75">
      <c r="A306" s="485">
        <v>422111</v>
      </c>
      <c r="B306" s="483" t="s">
        <v>36</v>
      </c>
      <c r="C306" s="483">
        <v>24042</v>
      </c>
      <c r="D306" s="483"/>
      <c r="E306" s="483"/>
      <c r="F306" s="483">
        <v>22183</v>
      </c>
      <c r="G306" s="483">
        <v>1859</v>
      </c>
      <c r="H306" s="483"/>
      <c r="I306" s="483"/>
      <c r="J306" s="483"/>
      <c r="K306" s="483"/>
      <c r="L306" s="483"/>
      <c r="M306" s="483"/>
      <c r="N306" s="483">
        <f t="shared" si="16"/>
        <v>0.005621197068475737</v>
      </c>
      <c r="O306" s="483">
        <f t="shared" si="15"/>
        <v>32056</v>
      </c>
      <c r="P306" s="483"/>
    </row>
    <row r="307" spans="1:16" ht="12.75">
      <c r="A307" s="485">
        <v>422121</v>
      </c>
      <c r="B307" s="483" t="s">
        <v>37</v>
      </c>
      <c r="C307" s="483">
        <v>118265.08</v>
      </c>
      <c r="D307" s="483"/>
      <c r="E307" s="483"/>
      <c r="F307" s="483">
        <v>113793.49</v>
      </c>
      <c r="G307" s="483">
        <v>4471.59</v>
      </c>
      <c r="H307" s="483"/>
      <c r="I307" s="483"/>
      <c r="J307" s="483"/>
      <c r="K307" s="483"/>
      <c r="L307" s="483"/>
      <c r="M307" s="483"/>
      <c r="N307" s="483">
        <f t="shared" si="16"/>
        <v>0.027651248689753286</v>
      </c>
      <c r="O307" s="483">
        <f t="shared" si="15"/>
        <v>157686.77333333335</v>
      </c>
      <c r="P307" s="483"/>
    </row>
    <row r="308" spans="1:16" ht="12.75">
      <c r="A308" s="485">
        <v>422194</v>
      </c>
      <c r="B308" s="483" t="s">
        <v>38</v>
      </c>
      <c r="C308" s="483">
        <v>20057</v>
      </c>
      <c r="D308" s="483"/>
      <c r="E308" s="483"/>
      <c r="F308" s="483">
        <v>20057</v>
      </c>
      <c r="G308" s="483"/>
      <c r="H308" s="483"/>
      <c r="I308" s="483"/>
      <c r="J308" s="483"/>
      <c r="K308" s="483"/>
      <c r="L308" s="483"/>
      <c r="M308" s="483"/>
      <c r="N308" s="483">
        <f t="shared" si="16"/>
        <v>0.004689474652791691</v>
      </c>
      <c r="O308" s="483">
        <f t="shared" si="15"/>
        <v>26742.666666666668</v>
      </c>
      <c r="P308" s="483"/>
    </row>
    <row r="309" spans="1:16" ht="12.75">
      <c r="A309" s="485">
        <v>422199</v>
      </c>
      <c r="B309" s="483" t="s">
        <v>39</v>
      </c>
      <c r="C309" s="483">
        <v>22725</v>
      </c>
      <c r="D309" s="483"/>
      <c r="E309" s="483"/>
      <c r="F309" s="483">
        <v>22725</v>
      </c>
      <c r="G309" s="483"/>
      <c r="H309" s="483"/>
      <c r="I309" s="483"/>
      <c r="J309" s="483"/>
      <c r="K309" s="483"/>
      <c r="L309" s="483"/>
      <c r="M309" s="483"/>
      <c r="N309" s="483">
        <f t="shared" si="16"/>
        <v>0.005313272746905877</v>
      </c>
      <c r="O309" s="483">
        <f t="shared" si="15"/>
        <v>30300</v>
      </c>
      <c r="P309" s="483"/>
    </row>
    <row r="310" spans="1:16" ht="12.75">
      <c r="A310" s="486">
        <v>4220</v>
      </c>
      <c r="B310" s="487" t="s">
        <v>414</v>
      </c>
      <c r="C310" s="487">
        <v>185089.08000000002</v>
      </c>
      <c r="D310" s="487">
        <v>0</v>
      </c>
      <c r="E310" s="487">
        <v>0</v>
      </c>
      <c r="F310" s="487">
        <v>178758.49</v>
      </c>
      <c r="G310" s="487">
        <v>6330.59</v>
      </c>
      <c r="H310" s="487">
        <v>0</v>
      </c>
      <c r="I310" s="487">
        <v>0</v>
      </c>
      <c r="J310" s="487">
        <v>0</v>
      </c>
      <c r="K310" s="487">
        <v>0</v>
      </c>
      <c r="L310" s="487">
        <v>300000</v>
      </c>
      <c r="M310" s="487">
        <v>61.69636</v>
      </c>
      <c r="N310" s="487">
        <f t="shared" si="16"/>
        <v>0.04327519315792659</v>
      </c>
      <c r="O310" s="483">
        <f t="shared" si="15"/>
        <v>246785.44000000003</v>
      </c>
      <c r="P310" s="506">
        <v>300000</v>
      </c>
    </row>
    <row r="311" spans="1:16" ht="12.75">
      <c r="A311" s="486">
        <v>4230</v>
      </c>
      <c r="B311" s="487" t="s">
        <v>415</v>
      </c>
      <c r="C311" s="487">
        <v>7437047.880000001</v>
      </c>
      <c r="D311" s="487">
        <v>1127084.0999999999</v>
      </c>
      <c r="E311" s="487">
        <v>587036.03</v>
      </c>
      <c r="F311" s="487">
        <v>5370927.75</v>
      </c>
      <c r="G311" s="487">
        <v>352000</v>
      </c>
      <c r="H311" s="487">
        <v>0</v>
      </c>
      <c r="I311" s="487">
        <v>0</v>
      </c>
      <c r="J311" s="487">
        <v>0</v>
      </c>
      <c r="K311" s="487">
        <v>0</v>
      </c>
      <c r="L311" s="487">
        <v>9600000</v>
      </c>
      <c r="M311" s="487">
        <v>77.46924875</v>
      </c>
      <c r="N311" s="487">
        <f t="shared" si="16"/>
        <v>1.7388366916716453</v>
      </c>
      <c r="O311" s="483">
        <f t="shared" si="15"/>
        <v>9916063.840000002</v>
      </c>
      <c r="P311" s="507">
        <f>P314+P319+P324+P328+P330+P333+P335</f>
        <v>9950000</v>
      </c>
    </row>
    <row r="312" spans="1:16" ht="12.75">
      <c r="A312" s="485">
        <v>423221</v>
      </c>
      <c r="B312" s="483" t="s">
        <v>475</v>
      </c>
      <c r="C312" s="483">
        <v>5280</v>
      </c>
      <c r="D312" s="483">
        <v>5280</v>
      </c>
      <c r="E312" s="483"/>
      <c r="F312" s="483"/>
      <c r="G312" s="483"/>
      <c r="H312" s="483"/>
      <c r="I312" s="483"/>
      <c r="J312" s="483"/>
      <c r="K312" s="483"/>
      <c r="L312" s="483"/>
      <c r="M312" s="483"/>
      <c r="N312" s="483">
        <f t="shared" si="16"/>
        <v>0.0012345029748586595</v>
      </c>
      <c r="O312" s="483">
        <f t="shared" si="15"/>
        <v>7040</v>
      </c>
      <c r="P312" s="483"/>
    </row>
    <row r="313" spans="1:16" ht="12.75">
      <c r="A313" s="485">
        <v>423291</v>
      </c>
      <c r="B313" s="483" t="s">
        <v>40</v>
      </c>
      <c r="C313" s="483">
        <v>432618</v>
      </c>
      <c r="D313" s="483">
        <v>249018</v>
      </c>
      <c r="E313" s="483"/>
      <c r="F313" s="483">
        <v>183600</v>
      </c>
      <c r="G313" s="483"/>
      <c r="H313" s="483"/>
      <c r="I313" s="483"/>
      <c r="J313" s="483"/>
      <c r="K313" s="483"/>
      <c r="L313" s="483"/>
      <c r="M313" s="483"/>
      <c r="N313" s="483">
        <f t="shared" si="16"/>
        <v>0.10114928181390218</v>
      </c>
      <c r="O313" s="483">
        <f t="shared" si="15"/>
        <v>576824</v>
      </c>
      <c r="P313" s="483"/>
    </row>
    <row r="314" spans="1:16" ht="12.75">
      <c r="A314" s="488">
        <v>4232</v>
      </c>
      <c r="B314" s="489" t="s">
        <v>106</v>
      </c>
      <c r="C314" s="489">
        <v>437898</v>
      </c>
      <c r="D314" s="489">
        <v>254298</v>
      </c>
      <c r="E314" s="489"/>
      <c r="F314" s="489">
        <v>183600</v>
      </c>
      <c r="G314" s="489"/>
      <c r="H314" s="489"/>
      <c r="I314" s="489"/>
      <c r="J314" s="489"/>
      <c r="K314" s="489"/>
      <c r="L314" s="489">
        <v>420000</v>
      </c>
      <c r="M314" s="489">
        <v>104.26142857142857</v>
      </c>
      <c r="N314" s="489">
        <f t="shared" si="16"/>
        <v>0.10238378478876084</v>
      </c>
      <c r="O314" s="483">
        <f t="shared" si="15"/>
        <v>583864</v>
      </c>
      <c r="P314" s="506">
        <v>600000</v>
      </c>
    </row>
    <row r="315" spans="1:16" ht="12.75">
      <c r="A315" s="485">
        <v>423311</v>
      </c>
      <c r="B315" s="483" t="s">
        <v>42</v>
      </c>
      <c r="C315" s="483">
        <v>295408</v>
      </c>
      <c r="D315" s="483"/>
      <c r="E315" s="483"/>
      <c r="F315" s="483">
        <v>295408</v>
      </c>
      <c r="G315" s="483"/>
      <c r="H315" s="483"/>
      <c r="I315" s="483"/>
      <c r="J315" s="483"/>
      <c r="K315" s="483"/>
      <c r="L315" s="483"/>
      <c r="M315" s="483"/>
      <c r="N315" s="483">
        <f t="shared" si="16"/>
        <v>0.06906857098428917</v>
      </c>
      <c r="O315" s="483">
        <f t="shared" si="15"/>
        <v>393877.3333333333</v>
      </c>
      <c r="P315" s="483"/>
    </row>
    <row r="316" spans="1:16" ht="12.75">
      <c r="A316" s="485">
        <v>423321</v>
      </c>
      <c r="B316" s="483" t="s">
        <v>41</v>
      </c>
      <c r="C316" s="483">
        <v>124405</v>
      </c>
      <c r="D316" s="483"/>
      <c r="E316" s="483"/>
      <c r="F316" s="483">
        <v>124405</v>
      </c>
      <c r="G316" s="483"/>
      <c r="H316" s="483"/>
      <c r="I316" s="483"/>
      <c r="J316" s="483"/>
      <c r="K316" s="483"/>
      <c r="L316" s="483"/>
      <c r="M316" s="483"/>
      <c r="N316" s="483">
        <f t="shared" si="16"/>
        <v>0.029086807308199153</v>
      </c>
      <c r="O316" s="483">
        <f t="shared" si="15"/>
        <v>165873.33333333334</v>
      </c>
      <c r="P316" s="483"/>
    </row>
    <row r="317" spans="1:16" ht="12.75">
      <c r="A317" s="485">
        <v>423391</v>
      </c>
      <c r="B317" s="483" t="s">
        <v>476</v>
      </c>
      <c r="C317" s="483">
        <v>265539.31</v>
      </c>
      <c r="D317" s="483"/>
      <c r="E317" s="483"/>
      <c r="F317" s="483">
        <v>265539.31</v>
      </c>
      <c r="G317" s="483"/>
      <c r="H317" s="483"/>
      <c r="I317" s="483"/>
      <c r="J317" s="483"/>
      <c r="K317" s="483"/>
      <c r="L317" s="483"/>
      <c r="M317" s="483"/>
      <c r="N317" s="483">
        <f t="shared" si="16"/>
        <v>0.062085050783506776</v>
      </c>
      <c r="O317" s="483">
        <f t="shared" si="15"/>
        <v>354052.41333333333</v>
      </c>
      <c r="P317" s="483"/>
    </row>
    <row r="318" spans="1:16" ht="12.75">
      <c r="A318" s="485">
        <v>423399</v>
      </c>
      <c r="B318" s="483" t="s">
        <v>477</v>
      </c>
      <c r="C318" s="483">
        <v>92562.74</v>
      </c>
      <c r="D318" s="483"/>
      <c r="E318" s="483"/>
      <c r="F318" s="483">
        <v>92562.74</v>
      </c>
      <c r="G318" s="483"/>
      <c r="H318" s="483"/>
      <c r="I318" s="483"/>
      <c r="J318" s="483"/>
      <c r="K318" s="483"/>
      <c r="L318" s="483"/>
      <c r="M318" s="483"/>
      <c r="N318" s="483">
        <f t="shared" si="16"/>
        <v>0.021641851873308453</v>
      </c>
      <c r="O318" s="483">
        <f t="shared" si="15"/>
        <v>123416.98666666668</v>
      </c>
      <c r="P318" s="483"/>
    </row>
    <row r="319" spans="1:16" ht="12.75">
      <c r="A319" s="488">
        <v>4233</v>
      </c>
      <c r="B319" s="489" t="s">
        <v>107</v>
      </c>
      <c r="C319" s="489">
        <v>777915.05</v>
      </c>
      <c r="D319" s="489"/>
      <c r="E319" s="489"/>
      <c r="F319" s="489">
        <v>777915.05</v>
      </c>
      <c r="G319" s="489"/>
      <c r="H319" s="489"/>
      <c r="I319" s="489"/>
      <c r="J319" s="489"/>
      <c r="K319" s="489"/>
      <c r="L319" s="489">
        <v>1000000</v>
      </c>
      <c r="M319" s="489">
        <v>77.791505</v>
      </c>
      <c r="N319" s="489">
        <f t="shared" si="16"/>
        <v>0.18188228094930356</v>
      </c>
      <c r="O319" s="483">
        <f t="shared" si="15"/>
        <v>1037220.0666666668</v>
      </c>
      <c r="P319" s="506">
        <v>1000000</v>
      </c>
    </row>
    <row r="320" spans="1:16" ht="12.75">
      <c r="A320" s="485">
        <v>423421</v>
      </c>
      <c r="B320" s="483" t="s">
        <v>43</v>
      </c>
      <c r="C320" s="483">
        <v>126809.07</v>
      </c>
      <c r="D320" s="483"/>
      <c r="E320" s="483"/>
      <c r="F320" s="483">
        <v>126809.07</v>
      </c>
      <c r="G320" s="483"/>
      <c r="H320" s="483"/>
      <c r="I320" s="483"/>
      <c r="J320" s="483"/>
      <c r="K320" s="483"/>
      <c r="L320" s="483"/>
      <c r="M320" s="483"/>
      <c r="N320" s="483">
        <f t="shared" si="16"/>
        <v>0.029648896620087118</v>
      </c>
      <c r="O320" s="483">
        <f t="shared" si="15"/>
        <v>169078.76</v>
      </c>
      <c r="P320" s="483"/>
    </row>
    <row r="321" spans="1:16" ht="12.75">
      <c r="A321" s="485">
        <v>423431</v>
      </c>
      <c r="B321" s="483" t="s">
        <v>478</v>
      </c>
      <c r="C321" s="483">
        <v>4900</v>
      </c>
      <c r="D321" s="483"/>
      <c r="E321" s="483"/>
      <c r="F321" s="483">
        <v>4900</v>
      </c>
      <c r="G321" s="483"/>
      <c r="H321" s="483"/>
      <c r="I321" s="483"/>
      <c r="J321" s="483"/>
      <c r="K321" s="483"/>
      <c r="L321" s="483"/>
      <c r="M321" s="483"/>
      <c r="N321" s="483">
        <f t="shared" si="16"/>
        <v>0.0011456561698498923</v>
      </c>
      <c r="O321" s="483">
        <f t="shared" si="15"/>
        <v>6533.333333333333</v>
      </c>
      <c r="P321" s="483"/>
    </row>
    <row r="322" spans="1:16" ht="12.75">
      <c r="A322" s="485">
        <v>423432</v>
      </c>
      <c r="B322" s="483" t="s">
        <v>44</v>
      </c>
      <c r="C322" s="483">
        <v>263099.14</v>
      </c>
      <c r="D322" s="483"/>
      <c r="E322" s="483"/>
      <c r="F322" s="483">
        <v>263099.14</v>
      </c>
      <c r="G322" s="483"/>
      <c r="H322" s="483"/>
      <c r="I322" s="483"/>
      <c r="J322" s="483"/>
      <c r="K322" s="483"/>
      <c r="L322" s="483"/>
      <c r="M322" s="483"/>
      <c r="N322" s="483">
        <f t="shared" si="16"/>
        <v>0.061514521025142974</v>
      </c>
      <c r="O322" s="483">
        <f t="shared" si="15"/>
        <v>350798.85333333333</v>
      </c>
      <c r="P322" s="483"/>
    </row>
    <row r="323" spans="1:16" ht="12.75">
      <c r="A323" s="485">
        <v>423449</v>
      </c>
      <c r="B323" s="483" t="s">
        <v>479</v>
      </c>
      <c r="C323" s="483">
        <v>30000</v>
      </c>
      <c r="D323" s="483"/>
      <c r="E323" s="483"/>
      <c r="F323" s="483">
        <v>30000</v>
      </c>
      <c r="G323" s="483"/>
      <c r="H323" s="483"/>
      <c r="I323" s="483"/>
      <c r="J323" s="483"/>
      <c r="K323" s="483"/>
      <c r="L323" s="483"/>
      <c r="M323" s="483"/>
      <c r="N323" s="483">
        <f t="shared" si="16"/>
        <v>0.0070142214480605645</v>
      </c>
      <c r="O323" s="483">
        <f t="shared" si="15"/>
        <v>40000</v>
      </c>
      <c r="P323" s="483"/>
    </row>
    <row r="324" spans="1:16" ht="12.75">
      <c r="A324" s="488">
        <v>4234</v>
      </c>
      <c r="B324" s="489" t="s">
        <v>108</v>
      </c>
      <c r="C324" s="489">
        <v>424808.21</v>
      </c>
      <c r="D324" s="489"/>
      <c r="E324" s="489"/>
      <c r="F324" s="489">
        <v>424808.21</v>
      </c>
      <c r="G324" s="489"/>
      <c r="H324" s="489"/>
      <c r="I324" s="489"/>
      <c r="J324" s="489"/>
      <c r="K324" s="489"/>
      <c r="L324" s="489">
        <v>600000</v>
      </c>
      <c r="M324" s="489">
        <v>70.80136833333333</v>
      </c>
      <c r="N324" s="489">
        <f t="shared" si="16"/>
        <v>0.09932329526314054</v>
      </c>
      <c r="O324" s="483">
        <f t="shared" si="15"/>
        <v>566410.9466666667</v>
      </c>
      <c r="P324" s="506">
        <v>600000</v>
      </c>
    </row>
    <row r="325" spans="1:16" ht="12.75">
      <c r="A325" s="485">
        <v>423539</v>
      </c>
      <c r="B325" s="483" t="s">
        <v>131</v>
      </c>
      <c r="C325" s="483">
        <v>44500</v>
      </c>
      <c r="D325" s="483"/>
      <c r="E325" s="483"/>
      <c r="F325" s="483">
        <v>44500</v>
      </c>
      <c r="G325" s="483"/>
      <c r="H325" s="483"/>
      <c r="I325" s="483"/>
      <c r="J325" s="483"/>
      <c r="K325" s="483"/>
      <c r="L325" s="483"/>
      <c r="M325" s="483"/>
      <c r="N325" s="483">
        <f t="shared" si="16"/>
        <v>0.010404428481289838</v>
      </c>
      <c r="O325" s="483">
        <f t="shared" si="15"/>
        <v>59333.333333333336</v>
      </c>
      <c r="P325" s="483"/>
    </row>
    <row r="326" spans="1:16" ht="12.75">
      <c r="A326" s="485">
        <v>423591</v>
      </c>
      <c r="B326" s="494" t="s">
        <v>480</v>
      </c>
      <c r="C326" s="483">
        <v>427710.78</v>
      </c>
      <c r="D326" s="483"/>
      <c r="E326" s="483"/>
      <c r="F326" s="483">
        <v>427710.78</v>
      </c>
      <c r="G326" s="483"/>
      <c r="H326" s="483"/>
      <c r="I326" s="483"/>
      <c r="J326" s="483"/>
      <c r="K326" s="483"/>
      <c r="L326" s="483"/>
      <c r="M326" s="483"/>
      <c r="N326" s="483">
        <f t="shared" si="16"/>
        <v>0.10000193755475711</v>
      </c>
      <c r="O326" s="483">
        <f t="shared" si="15"/>
        <v>570281.04</v>
      </c>
      <c r="P326" s="483"/>
    </row>
    <row r="327" spans="1:16" ht="12.75">
      <c r="A327" s="485">
        <v>423599</v>
      </c>
      <c r="B327" s="483" t="s">
        <v>45</v>
      </c>
      <c r="C327" s="483">
        <v>3464464.22</v>
      </c>
      <c r="D327" s="483">
        <v>2472</v>
      </c>
      <c r="E327" s="483"/>
      <c r="F327" s="483">
        <v>3309992.22</v>
      </c>
      <c r="G327" s="483">
        <v>152000</v>
      </c>
      <c r="H327" s="483"/>
      <c r="I327" s="483"/>
      <c r="J327" s="483"/>
      <c r="K327" s="483"/>
      <c r="L327" s="483"/>
      <c r="M327" s="483"/>
      <c r="N327" s="483">
        <f t="shared" si="16"/>
        <v>0.8100173079320805</v>
      </c>
      <c r="O327" s="483">
        <f t="shared" si="15"/>
        <v>4619285.626666667</v>
      </c>
      <c r="P327" s="483"/>
    </row>
    <row r="328" spans="1:16" ht="12.75">
      <c r="A328" s="488">
        <v>4235</v>
      </c>
      <c r="B328" s="489" t="s">
        <v>109</v>
      </c>
      <c r="C328" s="489">
        <v>3936675</v>
      </c>
      <c r="D328" s="489">
        <v>2472</v>
      </c>
      <c r="E328" s="489"/>
      <c r="F328" s="489">
        <v>3782203</v>
      </c>
      <c r="G328" s="489">
        <v>152000</v>
      </c>
      <c r="H328" s="489"/>
      <c r="I328" s="489"/>
      <c r="J328" s="489"/>
      <c r="K328" s="489"/>
      <c r="L328" s="489">
        <v>4500000</v>
      </c>
      <c r="M328" s="489">
        <v>87.48166666666667</v>
      </c>
      <c r="N328" s="489">
        <f t="shared" si="16"/>
        <v>0.9204236739681274</v>
      </c>
      <c r="O328" s="483">
        <f aca="true" t="shared" si="17" ref="O328:O368">C328/3*4</f>
        <v>5248900</v>
      </c>
      <c r="P328" s="506">
        <v>4800000</v>
      </c>
    </row>
    <row r="329" spans="1:16" ht="12.75">
      <c r="A329" s="485">
        <v>423611</v>
      </c>
      <c r="B329" s="483" t="s">
        <v>46</v>
      </c>
      <c r="C329" s="483">
        <v>1193453.73</v>
      </c>
      <c r="D329" s="483">
        <v>644590.7</v>
      </c>
      <c r="E329" s="483">
        <v>548863.03</v>
      </c>
      <c r="F329" s="483"/>
      <c r="G329" s="483"/>
      <c r="H329" s="483"/>
      <c r="I329" s="483"/>
      <c r="J329" s="483"/>
      <c r="K329" s="483"/>
      <c r="L329" s="483"/>
      <c r="M329" s="483"/>
      <c r="N329" s="483">
        <f t="shared" si="16"/>
        <v>0.27903829167446276</v>
      </c>
      <c r="O329" s="483">
        <f t="shared" si="17"/>
        <v>1591271.64</v>
      </c>
      <c r="P329" s="483"/>
    </row>
    <row r="330" spans="1:16" ht="12.75">
      <c r="A330" s="488">
        <v>4236</v>
      </c>
      <c r="B330" s="489" t="s">
        <v>110</v>
      </c>
      <c r="C330" s="489">
        <v>1193453.73</v>
      </c>
      <c r="D330" s="489">
        <v>644590.7</v>
      </c>
      <c r="E330" s="489">
        <v>548863.03</v>
      </c>
      <c r="F330" s="489"/>
      <c r="G330" s="489"/>
      <c r="H330" s="489"/>
      <c r="I330" s="489"/>
      <c r="J330" s="489"/>
      <c r="K330" s="489"/>
      <c r="L330" s="489">
        <v>2000000</v>
      </c>
      <c r="M330" s="489">
        <v>59.6726865</v>
      </c>
      <c r="N330" s="489">
        <f t="shared" si="16"/>
        <v>0.27903829167446276</v>
      </c>
      <c r="O330" s="483">
        <f t="shared" si="17"/>
        <v>1591271.64</v>
      </c>
      <c r="P330" s="506">
        <v>1600000</v>
      </c>
    </row>
    <row r="331" spans="1:16" ht="39">
      <c r="A331" s="483" t="s">
        <v>0</v>
      </c>
      <c r="B331" s="483" t="s">
        <v>1</v>
      </c>
      <c r="C331" s="483" t="s">
        <v>2</v>
      </c>
      <c r="D331" s="483" t="s">
        <v>403</v>
      </c>
      <c r="E331" s="483" t="s">
        <v>4</v>
      </c>
      <c r="F331" s="484" t="s">
        <v>457</v>
      </c>
      <c r="G331" s="483" t="s">
        <v>6</v>
      </c>
      <c r="H331" s="484" t="s">
        <v>458</v>
      </c>
      <c r="I331" s="483" t="s">
        <v>191</v>
      </c>
      <c r="J331" s="483" t="s">
        <v>459</v>
      </c>
      <c r="K331" s="484" t="s">
        <v>460</v>
      </c>
      <c r="L331" s="483" t="s">
        <v>201</v>
      </c>
      <c r="M331" s="484" t="s">
        <v>461</v>
      </c>
      <c r="N331" s="484" t="s">
        <v>462</v>
      </c>
      <c r="O331" s="483" t="e">
        <f t="shared" si="17"/>
        <v>#VALUE!</v>
      </c>
      <c r="P331" s="483"/>
    </row>
    <row r="332" spans="1:16" ht="12.75">
      <c r="A332" s="485">
        <v>423711</v>
      </c>
      <c r="B332" s="483" t="s">
        <v>47</v>
      </c>
      <c r="C332" s="483">
        <v>115261.49</v>
      </c>
      <c r="D332" s="483"/>
      <c r="E332" s="483"/>
      <c r="F332" s="483">
        <v>115261.49</v>
      </c>
      <c r="G332" s="483"/>
      <c r="H332" s="483"/>
      <c r="I332" s="483"/>
      <c r="J332" s="483"/>
      <c r="K332" s="483"/>
      <c r="L332" s="483"/>
      <c r="M332" s="483"/>
      <c r="N332" s="483">
        <f aca="true" t="shared" si="18" ref="N332:N366">C332*100/427702493.03</f>
        <v>0.026948987176447278</v>
      </c>
      <c r="O332" s="483">
        <f t="shared" si="17"/>
        <v>153681.98666666666</v>
      </c>
      <c r="P332" s="483"/>
    </row>
    <row r="333" spans="1:16" ht="12.75">
      <c r="A333" s="488">
        <v>4237</v>
      </c>
      <c r="B333" s="489" t="s">
        <v>47</v>
      </c>
      <c r="C333" s="489">
        <v>115261.49</v>
      </c>
      <c r="D333" s="489"/>
      <c r="E333" s="489"/>
      <c r="F333" s="489">
        <v>115261.49</v>
      </c>
      <c r="G333" s="489"/>
      <c r="H333" s="489"/>
      <c r="I333" s="489"/>
      <c r="J333" s="489"/>
      <c r="K333" s="489"/>
      <c r="L333" s="489">
        <v>200000</v>
      </c>
      <c r="M333" s="489">
        <v>57.630745</v>
      </c>
      <c r="N333" s="489">
        <f t="shared" si="18"/>
        <v>0.026948987176447278</v>
      </c>
      <c r="O333" s="483">
        <f t="shared" si="17"/>
        <v>153681.98666666666</v>
      </c>
      <c r="P333" s="508">
        <v>600000</v>
      </c>
    </row>
    <row r="334" spans="1:16" ht="12.75">
      <c r="A334" s="485">
        <v>423911</v>
      </c>
      <c r="B334" s="483" t="s">
        <v>48</v>
      </c>
      <c r="C334" s="483">
        <v>551036.4</v>
      </c>
      <c r="D334" s="483">
        <v>225723.4</v>
      </c>
      <c r="E334" s="483">
        <v>38173</v>
      </c>
      <c r="F334" s="483">
        <v>87140</v>
      </c>
      <c r="G334" s="483">
        <v>200000</v>
      </c>
      <c r="H334" s="483"/>
      <c r="I334" s="483"/>
      <c r="J334" s="483"/>
      <c r="K334" s="483"/>
      <c r="L334" s="483"/>
      <c r="M334" s="483"/>
      <c r="N334" s="483">
        <f t="shared" si="18"/>
        <v>0.12883637785140267</v>
      </c>
      <c r="O334" s="483">
        <f t="shared" si="17"/>
        <v>734715.2000000001</v>
      </c>
      <c r="P334" s="498"/>
    </row>
    <row r="335" spans="1:16" ht="12.75">
      <c r="A335" s="490">
        <v>4239</v>
      </c>
      <c r="B335" s="492" t="s">
        <v>48</v>
      </c>
      <c r="C335" s="492">
        <v>551036.4</v>
      </c>
      <c r="D335" s="492">
        <v>225723.4</v>
      </c>
      <c r="E335" s="492">
        <v>38173</v>
      </c>
      <c r="F335" s="492">
        <v>87140</v>
      </c>
      <c r="G335" s="492">
        <v>200000</v>
      </c>
      <c r="H335" s="492"/>
      <c r="I335" s="492"/>
      <c r="J335" s="492"/>
      <c r="K335" s="492"/>
      <c r="L335" s="492">
        <v>880000</v>
      </c>
      <c r="M335" s="492">
        <v>62.61777272727273</v>
      </c>
      <c r="N335" s="492">
        <f t="shared" si="18"/>
        <v>0.12883637785140267</v>
      </c>
      <c r="O335" s="483">
        <f t="shared" si="17"/>
        <v>734715.2000000001</v>
      </c>
      <c r="P335" s="508">
        <v>750000</v>
      </c>
    </row>
    <row r="336" spans="1:16" ht="12.75">
      <c r="A336" s="528">
        <v>424311</v>
      </c>
      <c r="B336" s="527" t="s">
        <v>481</v>
      </c>
      <c r="C336" s="527">
        <v>2883847.33</v>
      </c>
      <c r="D336" s="483"/>
      <c r="E336" s="483"/>
      <c r="F336" s="483">
        <v>2883847.33</v>
      </c>
      <c r="G336" s="483"/>
      <c r="H336" s="483"/>
      <c r="I336" s="483"/>
      <c r="J336" s="483"/>
      <c r="K336" s="483"/>
      <c r="L336" s="483"/>
      <c r="M336" s="483"/>
      <c r="N336" s="483">
        <f t="shared" si="18"/>
        <v>0.6742647931672731</v>
      </c>
      <c r="O336" s="483">
        <f t="shared" si="17"/>
        <v>3845129.7733333334</v>
      </c>
      <c r="P336" s="483"/>
    </row>
    <row r="337" spans="1:16" ht="12.75">
      <c r="A337" s="485">
        <v>424331</v>
      </c>
      <c r="B337" s="494" t="s">
        <v>482</v>
      </c>
      <c r="C337" s="483">
        <v>365390.58</v>
      </c>
      <c r="D337" s="483">
        <v>138838.65</v>
      </c>
      <c r="E337" s="483"/>
      <c r="F337" s="483">
        <v>226551.93</v>
      </c>
      <c r="G337" s="483"/>
      <c r="H337" s="483"/>
      <c r="I337" s="483"/>
      <c r="J337" s="483"/>
      <c r="K337" s="483"/>
      <c r="L337" s="483"/>
      <c r="M337" s="483"/>
      <c r="N337" s="483">
        <f t="shared" si="18"/>
        <v>0.08543101477184299</v>
      </c>
      <c r="O337" s="483">
        <f t="shared" si="17"/>
        <v>487187.44</v>
      </c>
      <c r="P337" s="483"/>
    </row>
    <row r="338" spans="1:16" ht="12.75">
      <c r="A338" s="486">
        <v>4240</v>
      </c>
      <c r="B338" s="487" t="s">
        <v>416</v>
      </c>
      <c r="C338" s="487">
        <v>3438817.83</v>
      </c>
      <c r="D338" s="487">
        <v>138838.65</v>
      </c>
      <c r="E338" s="487">
        <v>0</v>
      </c>
      <c r="F338" s="487">
        <v>3299979.18</v>
      </c>
      <c r="G338" s="487">
        <v>0</v>
      </c>
      <c r="H338" s="487">
        <v>0</v>
      </c>
      <c r="I338" s="487">
        <v>0</v>
      </c>
      <c r="J338" s="487">
        <v>0</v>
      </c>
      <c r="K338" s="487">
        <v>0</v>
      </c>
      <c r="L338" s="487">
        <v>5800000</v>
      </c>
      <c r="M338" s="487">
        <v>59.2899625862069</v>
      </c>
      <c r="N338" s="487">
        <f t="shared" si="18"/>
        <v>0.8040209926386362</v>
      </c>
      <c r="O338" s="483">
        <f t="shared" si="17"/>
        <v>4585090.44</v>
      </c>
      <c r="P338" s="507">
        <f>P339+P341+P343</f>
        <v>3253000</v>
      </c>
    </row>
    <row r="339" spans="1:16" ht="12.75">
      <c r="A339" s="529">
        <v>4243</v>
      </c>
      <c r="B339" s="530" t="s">
        <v>111</v>
      </c>
      <c r="C339" s="530">
        <v>3249237.91</v>
      </c>
      <c r="D339" s="489">
        <v>138838.65</v>
      </c>
      <c r="E339" s="489"/>
      <c r="F339" s="489">
        <v>3110399.2600000002</v>
      </c>
      <c r="G339" s="489"/>
      <c r="H339" s="489"/>
      <c r="I339" s="489"/>
      <c r="J339" s="489"/>
      <c r="K339" s="489"/>
      <c r="L339" s="489">
        <v>5800000</v>
      </c>
      <c r="M339" s="489">
        <v>56.021343275862066</v>
      </c>
      <c r="N339" s="489">
        <f t="shared" si="18"/>
        <v>0.7596958079391161</v>
      </c>
      <c r="O339" s="483">
        <f t="shared" si="17"/>
        <v>4332317.213333334</v>
      </c>
      <c r="P339" s="506">
        <v>3000000</v>
      </c>
    </row>
    <row r="340" spans="1:16" ht="12.75">
      <c r="A340" s="485">
        <v>424631</v>
      </c>
      <c r="B340" s="483" t="s">
        <v>483</v>
      </c>
      <c r="C340" s="483">
        <v>2249.52</v>
      </c>
      <c r="D340" s="483"/>
      <c r="E340" s="483"/>
      <c r="F340" s="483">
        <v>2249.52</v>
      </c>
      <c r="G340" s="483"/>
      <c r="H340" s="483"/>
      <c r="I340" s="483"/>
      <c r="J340" s="483"/>
      <c r="K340" s="483"/>
      <c r="L340" s="483"/>
      <c r="M340" s="483"/>
      <c r="N340" s="483">
        <f t="shared" si="18"/>
        <v>0.0005259543810613733</v>
      </c>
      <c r="O340" s="483">
        <f t="shared" si="17"/>
        <v>2999.36</v>
      </c>
      <c r="P340" s="483">
        <v>3000</v>
      </c>
    </row>
    <row r="341" spans="1:16" ht="19.5">
      <c r="A341" s="488">
        <v>4246</v>
      </c>
      <c r="B341" s="495" t="s">
        <v>484</v>
      </c>
      <c r="C341" s="489">
        <v>2249.52</v>
      </c>
      <c r="D341" s="489"/>
      <c r="E341" s="489"/>
      <c r="F341" s="489">
        <v>2249.52</v>
      </c>
      <c r="G341" s="489"/>
      <c r="H341" s="489"/>
      <c r="I341" s="489"/>
      <c r="J341" s="489"/>
      <c r="K341" s="489"/>
      <c r="L341" s="489"/>
      <c r="M341" s="489"/>
      <c r="N341" s="489">
        <f t="shared" si="18"/>
        <v>0.0005259543810613733</v>
      </c>
      <c r="O341" s="483">
        <f t="shared" si="17"/>
        <v>2999.36</v>
      </c>
      <c r="P341" s="506">
        <f>SUM(P340)</f>
        <v>3000</v>
      </c>
    </row>
    <row r="342" spans="1:16" ht="12.75">
      <c r="A342" s="485">
        <v>424911</v>
      </c>
      <c r="B342" s="483" t="s">
        <v>485</v>
      </c>
      <c r="C342" s="483">
        <v>187330.4</v>
      </c>
      <c r="D342" s="483"/>
      <c r="E342" s="483"/>
      <c r="F342" s="483">
        <v>187330.4</v>
      </c>
      <c r="G342" s="483"/>
      <c r="H342" s="483"/>
      <c r="I342" s="483"/>
      <c r="J342" s="483"/>
      <c r="K342" s="483"/>
      <c r="L342" s="483"/>
      <c r="M342" s="483"/>
      <c r="N342" s="483">
        <f t="shared" si="18"/>
        <v>0.04379923031845883</v>
      </c>
      <c r="O342" s="483">
        <f t="shared" si="17"/>
        <v>249773.86666666667</v>
      </c>
      <c r="P342" s="483"/>
    </row>
    <row r="343" spans="1:16" ht="12.75">
      <c r="A343" s="488">
        <v>4249</v>
      </c>
      <c r="B343" s="489" t="s">
        <v>485</v>
      </c>
      <c r="C343" s="489">
        <v>187330.4</v>
      </c>
      <c r="D343" s="489">
        <v>0</v>
      </c>
      <c r="E343" s="489"/>
      <c r="F343" s="489">
        <v>187330.4</v>
      </c>
      <c r="G343" s="489"/>
      <c r="H343" s="489"/>
      <c r="I343" s="489"/>
      <c r="J343" s="489">
        <v>0</v>
      </c>
      <c r="K343" s="489"/>
      <c r="L343" s="489"/>
      <c r="M343" s="489"/>
      <c r="N343" s="489">
        <f t="shared" si="18"/>
        <v>0.04379923031845883</v>
      </c>
      <c r="O343" s="483">
        <f t="shared" si="17"/>
        <v>249773.86666666667</v>
      </c>
      <c r="P343" s="506">
        <v>250000</v>
      </c>
    </row>
    <row r="344" spans="1:16" ht="12.75">
      <c r="A344" s="486">
        <v>4250</v>
      </c>
      <c r="B344" s="487" t="s">
        <v>417</v>
      </c>
      <c r="C344" s="487">
        <v>2316526.87</v>
      </c>
      <c r="D344" s="487">
        <v>1692918.8199999998</v>
      </c>
      <c r="E344" s="487">
        <v>178996</v>
      </c>
      <c r="F344" s="487">
        <v>300795.54</v>
      </c>
      <c r="G344" s="487">
        <v>13414</v>
      </c>
      <c r="H344" s="487">
        <v>0</v>
      </c>
      <c r="I344" s="487">
        <v>0</v>
      </c>
      <c r="J344" s="487">
        <v>130402.51</v>
      </c>
      <c r="K344" s="487">
        <v>0</v>
      </c>
      <c r="L344" s="487">
        <v>8957000</v>
      </c>
      <c r="M344" s="487">
        <v>25.862753935469467</v>
      </c>
      <c r="N344" s="487">
        <f t="shared" si="18"/>
        <v>0.5416210818854202</v>
      </c>
      <c r="O344" s="483">
        <f t="shared" si="17"/>
        <v>3088702.4933333336</v>
      </c>
      <c r="P344" s="507">
        <f>P352+P366</f>
        <v>5700000</v>
      </c>
    </row>
    <row r="345" spans="1:16" ht="12.75">
      <c r="A345" s="485">
        <v>425111</v>
      </c>
      <c r="B345" s="483" t="s">
        <v>486</v>
      </c>
      <c r="C345" s="483">
        <v>1920</v>
      </c>
      <c r="D345" s="483">
        <v>1920</v>
      </c>
      <c r="E345" s="483"/>
      <c r="F345" s="483"/>
      <c r="G345" s="483"/>
      <c r="H345" s="483"/>
      <c r="I345" s="483"/>
      <c r="J345" s="483"/>
      <c r="K345" s="483"/>
      <c r="L345" s="483"/>
      <c r="M345" s="483"/>
      <c r="N345" s="483">
        <f t="shared" si="18"/>
        <v>0.00044891017267587616</v>
      </c>
      <c r="O345" s="483">
        <f t="shared" si="17"/>
        <v>2560</v>
      </c>
      <c r="P345" s="483"/>
    </row>
    <row r="346" spans="1:16" ht="12.75">
      <c r="A346" s="485">
        <v>425112</v>
      </c>
      <c r="B346" s="483" t="s">
        <v>50</v>
      </c>
      <c r="C346" s="483">
        <v>237050.39</v>
      </c>
      <c r="D346" s="483">
        <v>127520.94</v>
      </c>
      <c r="E346" s="483">
        <v>74516.2</v>
      </c>
      <c r="F346" s="483">
        <v>32239.25</v>
      </c>
      <c r="G346" s="483">
        <v>2774</v>
      </c>
      <c r="H346" s="483"/>
      <c r="I346" s="483"/>
      <c r="J346" s="483"/>
      <c r="K346" s="483"/>
      <c r="L346" s="483"/>
      <c r="M346" s="483"/>
      <c r="N346" s="483">
        <f t="shared" si="18"/>
        <v>0.05542413099363739</v>
      </c>
      <c r="O346" s="483">
        <f t="shared" si="17"/>
        <v>316067.1866666667</v>
      </c>
      <c r="P346" s="483">
        <v>400000</v>
      </c>
    </row>
    <row r="347" spans="1:16" ht="12.75">
      <c r="A347" s="485">
        <v>425113</v>
      </c>
      <c r="B347" s="483" t="s">
        <v>487</v>
      </c>
      <c r="C347" s="483">
        <v>44518.4</v>
      </c>
      <c r="D347" s="483">
        <v>37438.4</v>
      </c>
      <c r="E347" s="483"/>
      <c r="F347" s="483"/>
      <c r="G347" s="483">
        <v>7080</v>
      </c>
      <c r="H347" s="483"/>
      <c r="I347" s="483"/>
      <c r="J347" s="483"/>
      <c r="K347" s="483"/>
      <c r="L347" s="483"/>
      <c r="M347" s="483"/>
      <c r="N347" s="483">
        <f t="shared" si="18"/>
        <v>0.010408730537111315</v>
      </c>
      <c r="O347" s="483">
        <f t="shared" si="17"/>
        <v>59357.86666666667</v>
      </c>
      <c r="P347" s="483">
        <v>1400000</v>
      </c>
    </row>
    <row r="348" spans="1:16" ht="12.75">
      <c r="A348" s="485">
        <v>425115</v>
      </c>
      <c r="B348" s="483" t="s">
        <v>51</v>
      </c>
      <c r="C348" s="483">
        <v>242501.59</v>
      </c>
      <c r="D348" s="483">
        <v>108431.08</v>
      </c>
      <c r="E348" s="483">
        <v>3668</v>
      </c>
      <c r="F348" s="483"/>
      <c r="G348" s="483"/>
      <c r="H348" s="483"/>
      <c r="I348" s="483"/>
      <c r="J348" s="483">
        <v>130402.51</v>
      </c>
      <c r="K348" s="483"/>
      <c r="L348" s="483"/>
      <c r="M348" s="483"/>
      <c r="N348" s="483">
        <f t="shared" si="18"/>
        <v>0.05669866179222631</v>
      </c>
      <c r="O348" s="483">
        <f t="shared" si="17"/>
        <v>323335.4533333333</v>
      </c>
      <c r="P348" s="483">
        <v>350000</v>
      </c>
    </row>
    <row r="349" spans="1:16" ht="12.75">
      <c r="A349" s="485">
        <v>425117</v>
      </c>
      <c r="B349" s="483" t="s">
        <v>52</v>
      </c>
      <c r="C349" s="483">
        <v>168581</v>
      </c>
      <c r="D349" s="483">
        <v>126270</v>
      </c>
      <c r="E349" s="483">
        <v>42311</v>
      </c>
      <c r="F349" s="483"/>
      <c r="G349" s="483"/>
      <c r="H349" s="483"/>
      <c r="I349" s="483"/>
      <c r="J349" s="483"/>
      <c r="K349" s="483"/>
      <c r="L349" s="483"/>
      <c r="M349" s="483"/>
      <c r="N349" s="483">
        <f t="shared" si="18"/>
        <v>0.03941548219784993</v>
      </c>
      <c r="O349" s="483">
        <f t="shared" si="17"/>
        <v>224774.66666666666</v>
      </c>
      <c r="P349" s="483">
        <v>1300000</v>
      </c>
    </row>
    <row r="350" spans="1:16" ht="12.75">
      <c r="A350" s="485">
        <v>425119</v>
      </c>
      <c r="B350" s="483" t="s">
        <v>488</v>
      </c>
      <c r="C350" s="483">
        <v>1127</v>
      </c>
      <c r="D350" s="483">
        <v>1127</v>
      </c>
      <c r="E350" s="483"/>
      <c r="F350" s="483"/>
      <c r="G350" s="483"/>
      <c r="H350" s="483"/>
      <c r="I350" s="483"/>
      <c r="J350" s="483"/>
      <c r="K350" s="483"/>
      <c r="L350" s="483"/>
      <c r="M350" s="483"/>
      <c r="N350" s="483">
        <f t="shared" si="18"/>
        <v>0.0002635009190654752</v>
      </c>
      <c r="O350" s="483">
        <f t="shared" si="17"/>
        <v>1502.6666666666667</v>
      </c>
      <c r="P350" s="483"/>
    </row>
    <row r="351" spans="1:16" ht="12.75">
      <c r="A351" s="485">
        <v>425191</v>
      </c>
      <c r="B351" s="483" t="s">
        <v>489</v>
      </c>
      <c r="C351" s="483">
        <v>141937.64</v>
      </c>
      <c r="D351" s="483">
        <v>123352.64</v>
      </c>
      <c r="E351" s="483"/>
      <c r="F351" s="483">
        <v>18585</v>
      </c>
      <c r="G351" s="483"/>
      <c r="H351" s="483"/>
      <c r="I351" s="483"/>
      <c r="J351" s="483"/>
      <c r="K351" s="483"/>
      <c r="L351" s="483"/>
      <c r="M351" s="483"/>
      <c r="N351" s="483">
        <f t="shared" si="18"/>
        <v>0.03318606795916997</v>
      </c>
      <c r="O351" s="483">
        <f t="shared" si="17"/>
        <v>189250.18666666668</v>
      </c>
      <c r="P351" s="483">
        <v>200000</v>
      </c>
    </row>
    <row r="352" spans="1:16" ht="12.75">
      <c r="A352" s="488">
        <v>4251</v>
      </c>
      <c r="B352" s="489" t="s">
        <v>112</v>
      </c>
      <c r="C352" s="489">
        <v>837636.02</v>
      </c>
      <c r="D352" s="489">
        <v>526060.0599999999</v>
      </c>
      <c r="E352" s="489">
        <v>120495.2</v>
      </c>
      <c r="F352" s="489">
        <v>50824.25</v>
      </c>
      <c r="G352" s="489">
        <v>9854</v>
      </c>
      <c r="H352" s="489"/>
      <c r="I352" s="489"/>
      <c r="J352" s="489">
        <v>130402.51</v>
      </c>
      <c r="K352" s="489"/>
      <c r="L352" s="489">
        <v>7057000</v>
      </c>
      <c r="M352" s="489">
        <v>11.869576590619243</v>
      </c>
      <c r="N352" s="489">
        <f t="shared" si="18"/>
        <v>0.19584548457173628</v>
      </c>
      <c r="O352" s="483">
        <f t="shared" si="17"/>
        <v>1116848.0266666666</v>
      </c>
      <c r="P352" s="506">
        <v>3700000</v>
      </c>
    </row>
    <row r="353" spans="1:16" ht="12.75">
      <c r="A353" s="485">
        <v>425211</v>
      </c>
      <c r="B353" s="483" t="s">
        <v>53</v>
      </c>
      <c r="C353" s="483">
        <v>172457.93</v>
      </c>
      <c r="D353" s="483">
        <v>132600.93</v>
      </c>
      <c r="E353" s="483">
        <v>3600</v>
      </c>
      <c r="F353" s="483">
        <v>36257</v>
      </c>
      <c r="G353" s="483"/>
      <c r="H353" s="483"/>
      <c r="I353" s="483"/>
      <c r="J353" s="483"/>
      <c r="K353" s="483"/>
      <c r="L353" s="483"/>
      <c r="M353" s="483"/>
      <c r="N353" s="483">
        <f t="shared" si="18"/>
        <v>0.04032193704980425</v>
      </c>
      <c r="O353" s="483">
        <f t="shared" si="17"/>
        <v>229943.90666666665</v>
      </c>
      <c r="P353" s="483"/>
    </row>
    <row r="354" spans="1:16" ht="12.75">
      <c r="A354" s="485">
        <v>425212</v>
      </c>
      <c r="B354" s="483" t="s">
        <v>54</v>
      </c>
      <c r="C354" s="483">
        <v>219836.67</v>
      </c>
      <c r="D354" s="483">
        <v>169755.87</v>
      </c>
      <c r="E354" s="483">
        <v>50080.8</v>
      </c>
      <c r="F354" s="483"/>
      <c r="G354" s="483"/>
      <c r="H354" s="483"/>
      <c r="I354" s="483"/>
      <c r="J354" s="483"/>
      <c r="K354" s="483"/>
      <c r="L354" s="483"/>
      <c r="M354" s="483"/>
      <c r="N354" s="483">
        <f t="shared" si="18"/>
        <v>0.05139943619280708</v>
      </c>
      <c r="O354" s="483">
        <f t="shared" si="17"/>
        <v>293115.56</v>
      </c>
      <c r="P354" s="483"/>
    </row>
    <row r="355" spans="1:16" ht="12.75">
      <c r="A355" s="485">
        <v>425213</v>
      </c>
      <c r="B355" s="483" t="s">
        <v>55</v>
      </c>
      <c r="C355" s="483">
        <v>4000</v>
      </c>
      <c r="D355" s="483">
        <v>4000</v>
      </c>
      <c r="E355" s="483"/>
      <c r="F355" s="483"/>
      <c r="G355" s="483"/>
      <c r="H355" s="483"/>
      <c r="I355" s="483"/>
      <c r="J355" s="483"/>
      <c r="K355" s="483"/>
      <c r="L355" s="483"/>
      <c r="M355" s="483"/>
      <c r="N355" s="483">
        <f t="shared" si="18"/>
        <v>0.0009352295264080753</v>
      </c>
      <c r="O355" s="483">
        <f t="shared" si="17"/>
        <v>5333.333333333333</v>
      </c>
      <c r="P355" s="483"/>
    </row>
    <row r="356" spans="1:16" ht="12.75">
      <c r="A356" s="485">
        <v>425219</v>
      </c>
      <c r="B356" s="483" t="s">
        <v>490</v>
      </c>
      <c r="C356" s="483">
        <v>13498.02</v>
      </c>
      <c r="D356" s="483">
        <v>13498.02</v>
      </c>
      <c r="E356" s="483"/>
      <c r="F356" s="483"/>
      <c r="G356" s="483"/>
      <c r="H356" s="483"/>
      <c r="I356" s="483"/>
      <c r="J356" s="483"/>
      <c r="K356" s="483"/>
      <c r="L356" s="483"/>
      <c r="M356" s="483"/>
      <c r="N356" s="483">
        <f t="shared" si="18"/>
        <v>0.003155936713011682</v>
      </c>
      <c r="O356" s="483">
        <f t="shared" si="17"/>
        <v>17997.36</v>
      </c>
      <c r="P356" s="483"/>
    </row>
    <row r="357" spans="1:16" ht="12.75">
      <c r="A357" s="485">
        <v>425221</v>
      </c>
      <c r="B357" s="483" t="s">
        <v>491</v>
      </c>
      <c r="C357" s="483">
        <v>68895</v>
      </c>
      <c r="D357" s="483">
        <v>67320</v>
      </c>
      <c r="E357" s="483"/>
      <c r="F357" s="483">
        <v>1575</v>
      </c>
      <c r="G357" s="483"/>
      <c r="H357" s="483"/>
      <c r="I357" s="483"/>
      <c r="J357" s="483"/>
      <c r="K357" s="483"/>
      <c r="L357" s="483"/>
      <c r="M357" s="483"/>
      <c r="N357" s="483">
        <f t="shared" si="18"/>
        <v>0.016108159555471086</v>
      </c>
      <c r="O357" s="483">
        <f t="shared" si="17"/>
        <v>91860</v>
      </c>
      <c r="P357" s="483"/>
    </row>
    <row r="358" spans="1:16" ht="12.75">
      <c r="A358" s="485">
        <v>425222</v>
      </c>
      <c r="B358" s="483" t="s">
        <v>492</v>
      </c>
      <c r="C358" s="483">
        <v>166950.71</v>
      </c>
      <c r="D358" s="483">
        <v>160873.22</v>
      </c>
      <c r="E358" s="483">
        <v>4820</v>
      </c>
      <c r="F358" s="483">
        <v>1257.49</v>
      </c>
      <c r="G358" s="483"/>
      <c r="H358" s="483"/>
      <c r="I358" s="483"/>
      <c r="J358" s="483"/>
      <c r="K358" s="483"/>
      <c r="L358" s="483"/>
      <c r="M358" s="483"/>
      <c r="N358" s="483">
        <f t="shared" si="18"/>
        <v>0.03903430836169798</v>
      </c>
      <c r="O358" s="483">
        <f t="shared" si="17"/>
        <v>222600.94666666666</v>
      </c>
      <c r="P358" s="483"/>
    </row>
    <row r="359" spans="1:16" ht="12.75">
      <c r="A359" s="485">
        <v>425226</v>
      </c>
      <c r="B359" s="483" t="s">
        <v>493</v>
      </c>
      <c r="C359" s="483">
        <v>5767</v>
      </c>
      <c r="D359" s="483">
        <v>5767</v>
      </c>
      <c r="E359" s="483"/>
      <c r="F359" s="483"/>
      <c r="G359" s="483"/>
      <c r="H359" s="483"/>
      <c r="I359" s="483"/>
      <c r="J359" s="483"/>
      <c r="K359" s="483"/>
      <c r="L359" s="483"/>
      <c r="M359" s="483"/>
      <c r="N359" s="483">
        <f t="shared" si="18"/>
        <v>0.0013483671696988425</v>
      </c>
      <c r="O359" s="483">
        <f t="shared" si="17"/>
        <v>7689.333333333333</v>
      </c>
      <c r="P359" s="483"/>
    </row>
    <row r="360" spans="1:16" ht="12.75">
      <c r="A360" s="485">
        <v>425227</v>
      </c>
      <c r="B360" s="483" t="s">
        <v>494</v>
      </c>
      <c r="C360" s="483">
        <v>216400</v>
      </c>
      <c r="D360" s="483">
        <v>216400</v>
      </c>
      <c r="E360" s="483"/>
      <c r="F360" s="483"/>
      <c r="G360" s="483"/>
      <c r="H360" s="483"/>
      <c r="I360" s="483"/>
      <c r="J360" s="483"/>
      <c r="K360" s="483"/>
      <c r="L360" s="483"/>
      <c r="M360" s="483"/>
      <c r="N360" s="483">
        <f t="shared" si="18"/>
        <v>0.05059591737867687</v>
      </c>
      <c r="O360" s="483">
        <f t="shared" si="17"/>
        <v>288533.3333333333</v>
      </c>
      <c r="P360" s="483"/>
    </row>
    <row r="361" spans="1:16" ht="12.75">
      <c r="A361" s="485">
        <v>425251</v>
      </c>
      <c r="B361" s="483" t="s">
        <v>59</v>
      </c>
      <c r="C361" s="483">
        <v>513518.72</v>
      </c>
      <c r="D361" s="483">
        <v>305399.72</v>
      </c>
      <c r="E361" s="483"/>
      <c r="F361" s="483">
        <v>208119</v>
      </c>
      <c r="G361" s="483"/>
      <c r="H361" s="483"/>
      <c r="I361" s="483"/>
      <c r="J361" s="483"/>
      <c r="K361" s="483"/>
      <c r="L361" s="483"/>
      <c r="M361" s="483"/>
      <c r="N361" s="483">
        <f t="shared" si="18"/>
        <v>0.12006446732682026</v>
      </c>
      <c r="O361" s="483">
        <f t="shared" si="17"/>
        <v>684691.6266666666</v>
      </c>
      <c r="P361" s="483"/>
    </row>
    <row r="362" spans="1:16" ht="12.75">
      <c r="A362" s="485">
        <v>425252</v>
      </c>
      <c r="B362" s="483" t="s">
        <v>60</v>
      </c>
      <c r="C362" s="483">
        <v>35164</v>
      </c>
      <c r="D362" s="483">
        <v>35164</v>
      </c>
      <c r="E362" s="483"/>
      <c r="F362" s="483"/>
      <c r="G362" s="483"/>
      <c r="H362" s="483"/>
      <c r="I362" s="483"/>
      <c r="J362" s="483"/>
      <c r="K362" s="483"/>
      <c r="L362" s="483"/>
      <c r="M362" s="483"/>
      <c r="N362" s="483">
        <f t="shared" si="18"/>
        <v>0.00822160276665339</v>
      </c>
      <c r="O362" s="483">
        <f t="shared" si="17"/>
        <v>46885.333333333336</v>
      </c>
      <c r="P362" s="483"/>
    </row>
    <row r="363" spans="1:16" ht="12.75">
      <c r="A363" s="485">
        <v>425253</v>
      </c>
      <c r="B363" s="483" t="s">
        <v>495</v>
      </c>
      <c r="C363" s="483">
        <v>2312.8</v>
      </c>
      <c r="D363" s="483"/>
      <c r="E363" s="483"/>
      <c r="F363" s="483">
        <v>2312.8</v>
      </c>
      <c r="G363" s="483"/>
      <c r="H363" s="483"/>
      <c r="I363" s="483"/>
      <c r="J363" s="483"/>
      <c r="K363" s="483"/>
      <c r="L363" s="483"/>
      <c r="M363" s="483"/>
      <c r="N363" s="483">
        <f t="shared" si="18"/>
        <v>0.0005407497121691492</v>
      </c>
      <c r="O363" s="483">
        <f t="shared" si="17"/>
        <v>3083.7333333333336</v>
      </c>
      <c r="P363" s="483"/>
    </row>
    <row r="364" spans="1:16" ht="12.75">
      <c r="A364" s="485">
        <v>425281</v>
      </c>
      <c r="B364" s="483" t="s">
        <v>61</v>
      </c>
      <c r="C364" s="483">
        <v>25440</v>
      </c>
      <c r="D364" s="483">
        <v>21880</v>
      </c>
      <c r="E364" s="483"/>
      <c r="F364" s="483"/>
      <c r="G364" s="483">
        <v>3560</v>
      </c>
      <c r="H364" s="483"/>
      <c r="I364" s="483"/>
      <c r="J364" s="483"/>
      <c r="K364" s="483"/>
      <c r="L364" s="483"/>
      <c r="M364" s="483"/>
      <c r="N364" s="483">
        <f t="shared" si="18"/>
        <v>0.005948059787955359</v>
      </c>
      <c r="O364" s="483">
        <f t="shared" si="17"/>
        <v>33920</v>
      </c>
      <c r="P364" s="483"/>
    </row>
    <row r="365" spans="1:16" ht="12.75">
      <c r="A365" s="485">
        <v>425291</v>
      </c>
      <c r="B365" s="483" t="s">
        <v>62</v>
      </c>
      <c r="C365" s="483">
        <v>34650</v>
      </c>
      <c r="D365" s="483">
        <v>34200</v>
      </c>
      <c r="E365" s="483"/>
      <c r="F365" s="483">
        <v>450</v>
      </c>
      <c r="G365" s="483"/>
      <c r="H365" s="483"/>
      <c r="I365" s="483"/>
      <c r="J365" s="483"/>
      <c r="K365" s="483"/>
      <c r="L365" s="483"/>
      <c r="M365" s="483"/>
      <c r="N365" s="483">
        <f t="shared" si="18"/>
        <v>0.008101425772509952</v>
      </c>
      <c r="O365" s="483">
        <f t="shared" si="17"/>
        <v>46200</v>
      </c>
      <c r="P365" s="483"/>
    </row>
    <row r="366" spans="1:16" ht="12.75">
      <c r="A366" s="488">
        <v>4252</v>
      </c>
      <c r="B366" s="489" t="s">
        <v>113</v>
      </c>
      <c r="C366" s="489">
        <v>1478890.8499999999</v>
      </c>
      <c r="D366" s="489">
        <v>1166858.76</v>
      </c>
      <c r="E366" s="489">
        <v>58500.8</v>
      </c>
      <c r="F366" s="489">
        <v>249971.28999999998</v>
      </c>
      <c r="G366" s="489">
        <v>3560</v>
      </c>
      <c r="H366" s="489"/>
      <c r="I366" s="489"/>
      <c r="J366" s="489"/>
      <c r="K366" s="489"/>
      <c r="L366" s="489">
        <v>1900000</v>
      </c>
      <c r="M366" s="489">
        <v>77.83636052631579</v>
      </c>
      <c r="N366" s="489">
        <f t="shared" si="18"/>
        <v>0.34577559731368396</v>
      </c>
      <c r="O366" s="483">
        <f t="shared" si="17"/>
        <v>1971854.4666666666</v>
      </c>
      <c r="P366" s="506">
        <v>2000000</v>
      </c>
    </row>
    <row r="367" spans="1:16" ht="39">
      <c r="A367" s="483" t="s">
        <v>0</v>
      </c>
      <c r="B367" s="483" t="s">
        <v>1</v>
      </c>
      <c r="C367" s="483" t="s">
        <v>2</v>
      </c>
      <c r="D367" s="483" t="s">
        <v>403</v>
      </c>
      <c r="E367" s="483" t="s">
        <v>4</v>
      </c>
      <c r="F367" s="484" t="s">
        <v>457</v>
      </c>
      <c r="G367" s="483" t="s">
        <v>6</v>
      </c>
      <c r="H367" s="484" t="s">
        <v>458</v>
      </c>
      <c r="I367" s="483" t="s">
        <v>191</v>
      </c>
      <c r="J367" s="483" t="s">
        <v>459</v>
      </c>
      <c r="K367" s="484" t="s">
        <v>460</v>
      </c>
      <c r="L367" s="483" t="s">
        <v>201</v>
      </c>
      <c r="M367" s="484" t="s">
        <v>461</v>
      </c>
      <c r="N367" s="484" t="s">
        <v>462</v>
      </c>
      <c r="O367" s="483" t="e">
        <f t="shared" si="17"/>
        <v>#VALUE!</v>
      </c>
      <c r="P367" s="483"/>
    </row>
    <row r="368" spans="1:16" ht="12.75">
      <c r="A368" s="486">
        <v>4260</v>
      </c>
      <c r="B368" s="487" t="s">
        <v>418</v>
      </c>
      <c r="C368" s="487">
        <v>39399481.849999994</v>
      </c>
      <c r="D368" s="487">
        <v>29979983.58</v>
      </c>
      <c r="E368" s="487">
        <v>1451877.92</v>
      </c>
      <c r="F368" s="487">
        <v>7967620.350000001</v>
      </c>
      <c r="G368" s="487"/>
      <c r="H368" s="487"/>
      <c r="I368" s="487"/>
      <c r="J368" s="487"/>
      <c r="K368" s="487"/>
      <c r="L368" s="487">
        <v>66163000</v>
      </c>
      <c r="M368" s="487">
        <v>59.54911634901681</v>
      </c>
      <c r="N368" s="487">
        <f aca="true" t="shared" si="19" ref="N368:N401">C368*100/427702493.03</f>
        <v>9.211889687824764</v>
      </c>
      <c r="O368" s="483">
        <f t="shared" si="17"/>
        <v>52532642.46666666</v>
      </c>
      <c r="P368" s="507">
        <f>P374+P376+P380+P387+P391+P395</f>
        <v>55145000</v>
      </c>
    </row>
    <row r="369" spans="1:16" ht="12.75">
      <c r="A369" s="485">
        <v>426111</v>
      </c>
      <c r="B369" s="483" t="s">
        <v>63</v>
      </c>
      <c r="C369" s="483">
        <v>2948810.09</v>
      </c>
      <c r="D369" s="483">
        <v>1816894.25</v>
      </c>
      <c r="E369" s="483">
        <v>1114923.84</v>
      </c>
      <c r="F369" s="483">
        <v>16992</v>
      </c>
      <c r="G369" s="483"/>
      <c r="H369" s="483"/>
      <c r="I369" s="483"/>
      <c r="J369" s="483"/>
      <c r="K369" s="483"/>
      <c r="L369" s="483"/>
      <c r="M369" s="483"/>
      <c r="N369" s="483">
        <f t="shared" si="19"/>
        <v>0.6894535659845135</v>
      </c>
      <c r="O369" s="483">
        <v>3500000</v>
      </c>
      <c r="P369" s="483"/>
    </row>
    <row r="370" spans="1:16" ht="12.75">
      <c r="A370" s="485">
        <v>426121</v>
      </c>
      <c r="B370" s="483" t="s">
        <v>132</v>
      </c>
      <c r="C370" s="483">
        <v>932259</v>
      </c>
      <c r="D370" s="483">
        <v>430464</v>
      </c>
      <c r="E370" s="483"/>
      <c r="F370" s="483">
        <v>501795</v>
      </c>
      <c r="G370" s="483"/>
      <c r="H370" s="483"/>
      <c r="I370" s="483"/>
      <c r="J370" s="483"/>
      <c r="K370" s="483"/>
      <c r="L370" s="483"/>
      <c r="M370" s="483"/>
      <c r="N370" s="483">
        <f t="shared" si="19"/>
        <v>0.21796903576491647</v>
      </c>
      <c r="O370" s="483">
        <v>1100000</v>
      </c>
      <c r="P370" s="483"/>
    </row>
    <row r="371" spans="1:16" ht="12.75">
      <c r="A371" s="485">
        <v>426124</v>
      </c>
      <c r="B371" s="483" t="s">
        <v>496</v>
      </c>
      <c r="C371" s="483">
        <v>60200</v>
      </c>
      <c r="D371" s="483"/>
      <c r="E371" s="483"/>
      <c r="F371" s="483">
        <v>60200</v>
      </c>
      <c r="G371" s="483"/>
      <c r="H371" s="483"/>
      <c r="I371" s="483"/>
      <c r="J371" s="483"/>
      <c r="K371" s="483"/>
      <c r="L371" s="483"/>
      <c r="M371" s="483"/>
      <c r="N371" s="483">
        <f t="shared" si="19"/>
        <v>0.014075204372441533</v>
      </c>
      <c r="O371" s="483">
        <f>C371/3*4</f>
        <v>80266.66666666667</v>
      </c>
      <c r="P371" s="483"/>
    </row>
    <row r="372" spans="1:16" ht="12.75">
      <c r="A372" s="485">
        <v>426129</v>
      </c>
      <c r="B372" s="483" t="s">
        <v>64</v>
      </c>
      <c r="C372" s="483">
        <v>25600</v>
      </c>
      <c r="D372" s="483"/>
      <c r="E372" s="483"/>
      <c r="F372" s="483">
        <v>25600</v>
      </c>
      <c r="G372" s="483"/>
      <c r="H372" s="483"/>
      <c r="I372" s="483"/>
      <c r="J372" s="483"/>
      <c r="K372" s="483"/>
      <c r="L372" s="483"/>
      <c r="M372" s="483"/>
      <c r="N372" s="483">
        <f t="shared" si="19"/>
        <v>0.0059854689690116815</v>
      </c>
      <c r="O372" s="483">
        <f>C372/3*4</f>
        <v>34133.333333333336</v>
      </c>
      <c r="P372" s="483"/>
    </row>
    <row r="373" spans="1:16" ht="12.75">
      <c r="A373" s="485">
        <v>426191</v>
      </c>
      <c r="B373" s="483" t="s">
        <v>497</v>
      </c>
      <c r="C373" s="483">
        <v>1400</v>
      </c>
      <c r="D373" s="483"/>
      <c r="E373" s="483"/>
      <c r="F373" s="483">
        <v>1400</v>
      </c>
      <c r="G373" s="483"/>
      <c r="H373" s="483"/>
      <c r="I373" s="483"/>
      <c r="J373" s="483"/>
      <c r="K373" s="483"/>
      <c r="L373" s="483"/>
      <c r="M373" s="483"/>
      <c r="N373" s="483">
        <f t="shared" si="19"/>
        <v>0.00032733033424282637</v>
      </c>
      <c r="O373" s="483">
        <f>C373/3*4</f>
        <v>1866.6666666666667</v>
      </c>
      <c r="P373" s="483"/>
    </row>
    <row r="374" spans="1:16" ht="12.75">
      <c r="A374" s="488">
        <v>4261</v>
      </c>
      <c r="B374" s="489" t="s">
        <v>114</v>
      </c>
      <c r="C374" s="489">
        <v>3968269.09</v>
      </c>
      <c r="D374" s="489">
        <v>2247358.25</v>
      </c>
      <c r="E374" s="489">
        <v>1114923.84</v>
      </c>
      <c r="F374" s="489">
        <v>605987</v>
      </c>
      <c r="G374" s="489"/>
      <c r="H374" s="489"/>
      <c r="I374" s="489"/>
      <c r="J374" s="489"/>
      <c r="K374" s="489"/>
      <c r="L374" s="489">
        <v>5000000</v>
      </c>
      <c r="M374" s="489">
        <v>79.3653818</v>
      </c>
      <c r="N374" s="489">
        <f t="shared" si="19"/>
        <v>0.927810605425126</v>
      </c>
      <c r="O374" s="483">
        <f>SUM(O369:O373)</f>
        <v>4716266.666666667</v>
      </c>
      <c r="P374" s="506">
        <v>4800000</v>
      </c>
    </row>
    <row r="375" spans="1:16" ht="12.75">
      <c r="A375" s="485">
        <v>426311</v>
      </c>
      <c r="B375" s="483" t="s">
        <v>65</v>
      </c>
      <c r="C375" s="483">
        <v>456838.02</v>
      </c>
      <c r="D375" s="483"/>
      <c r="E375" s="483"/>
      <c r="F375" s="483">
        <v>456838.02</v>
      </c>
      <c r="G375" s="483"/>
      <c r="H375" s="483"/>
      <c r="I375" s="483"/>
      <c r="J375" s="483"/>
      <c r="K375" s="483"/>
      <c r="L375" s="483"/>
      <c r="M375" s="483"/>
      <c r="N375" s="483">
        <f t="shared" si="19"/>
        <v>0.10681210127245071</v>
      </c>
      <c r="O375" s="483">
        <f aca="true" t="shared" si="20" ref="O375:O413">C375/3*4</f>
        <v>609117.36</v>
      </c>
      <c r="P375" s="483"/>
    </row>
    <row r="376" spans="1:16" ht="12.75">
      <c r="A376" s="488">
        <v>4263</v>
      </c>
      <c r="B376" s="489" t="s">
        <v>115</v>
      </c>
      <c r="C376" s="489">
        <v>456838.02</v>
      </c>
      <c r="D376" s="489"/>
      <c r="E376" s="489"/>
      <c r="F376" s="489">
        <v>456838.02</v>
      </c>
      <c r="G376" s="489"/>
      <c r="H376" s="489"/>
      <c r="I376" s="489"/>
      <c r="J376" s="489"/>
      <c r="K376" s="489"/>
      <c r="L376" s="489">
        <v>1500000</v>
      </c>
      <c r="M376" s="489">
        <v>30.455868</v>
      </c>
      <c r="N376" s="489">
        <f t="shared" si="19"/>
        <v>0.10681210127245071</v>
      </c>
      <c r="O376" s="483">
        <f t="shared" si="20"/>
        <v>609117.36</v>
      </c>
      <c r="P376" s="506">
        <v>800000</v>
      </c>
    </row>
    <row r="377" spans="1:16" ht="12.75">
      <c r="A377" s="485">
        <v>426411</v>
      </c>
      <c r="B377" s="483" t="s">
        <v>66</v>
      </c>
      <c r="C377" s="483">
        <v>8642932.36</v>
      </c>
      <c r="D377" s="483">
        <v>8642932.36</v>
      </c>
      <c r="E377" s="483"/>
      <c r="F377" s="483"/>
      <c r="G377" s="483"/>
      <c r="H377" s="483"/>
      <c r="I377" s="483"/>
      <c r="J377" s="483"/>
      <c r="K377" s="483"/>
      <c r="L377" s="483"/>
      <c r="M377" s="483"/>
      <c r="N377" s="483">
        <f t="shared" si="19"/>
        <v>2.020781384454957</v>
      </c>
      <c r="O377" s="483">
        <f t="shared" si="20"/>
        <v>11523909.813333333</v>
      </c>
      <c r="P377" s="483">
        <v>14615000</v>
      </c>
    </row>
    <row r="378" spans="1:16" ht="12.75">
      <c r="A378" s="485">
        <v>426413</v>
      </c>
      <c r="B378" s="483" t="s">
        <v>68</v>
      </c>
      <c r="C378" s="483">
        <v>20827</v>
      </c>
      <c r="D378" s="483">
        <v>20827</v>
      </c>
      <c r="E378" s="483"/>
      <c r="F378" s="483"/>
      <c r="G378" s="483"/>
      <c r="H378" s="483"/>
      <c r="I378" s="483"/>
      <c r="J378" s="483"/>
      <c r="K378" s="483"/>
      <c r="L378" s="483"/>
      <c r="M378" s="483"/>
      <c r="N378" s="483">
        <f t="shared" si="19"/>
        <v>0.004869506336625246</v>
      </c>
      <c r="O378" s="483">
        <f t="shared" si="20"/>
        <v>27769.333333333332</v>
      </c>
      <c r="P378" s="483">
        <v>30000</v>
      </c>
    </row>
    <row r="379" spans="1:16" ht="12.75">
      <c r="A379" s="485">
        <v>426491</v>
      </c>
      <c r="B379" s="483" t="s">
        <v>69</v>
      </c>
      <c r="C379" s="483">
        <v>876785.32</v>
      </c>
      <c r="D379" s="483">
        <v>751371.14</v>
      </c>
      <c r="E379" s="483">
        <v>65560.18</v>
      </c>
      <c r="F379" s="483">
        <v>59854</v>
      </c>
      <c r="G379" s="483"/>
      <c r="H379" s="483"/>
      <c r="I379" s="483"/>
      <c r="J379" s="483"/>
      <c r="K379" s="483"/>
      <c r="L379" s="483"/>
      <c r="M379" s="483"/>
      <c r="N379" s="483">
        <f t="shared" si="19"/>
        <v>0.20499887989628818</v>
      </c>
      <c r="O379" s="483">
        <f t="shared" si="20"/>
        <v>1169047.0933333333</v>
      </c>
      <c r="P379" s="483">
        <v>1200000</v>
      </c>
    </row>
    <row r="380" spans="1:16" ht="12.75">
      <c r="A380" s="488">
        <v>4264</v>
      </c>
      <c r="B380" s="489" t="s">
        <v>116</v>
      </c>
      <c r="C380" s="489">
        <v>9540544.68</v>
      </c>
      <c r="D380" s="489">
        <v>9415130.5</v>
      </c>
      <c r="E380" s="489">
        <v>65560.18</v>
      </c>
      <c r="F380" s="489">
        <v>59854</v>
      </c>
      <c r="G380" s="530" t="s">
        <v>571</v>
      </c>
      <c r="H380" s="489"/>
      <c r="I380" s="489"/>
      <c r="J380" s="489"/>
      <c r="K380" s="489"/>
      <c r="L380" s="489">
        <v>19762000</v>
      </c>
      <c r="M380" s="489">
        <v>48.27722234591641</v>
      </c>
      <c r="N380" s="489">
        <f t="shared" si="19"/>
        <v>2.2306497706878705</v>
      </c>
      <c r="O380" s="483">
        <f t="shared" si="20"/>
        <v>12720726.24</v>
      </c>
      <c r="P380" s="506">
        <f>SUM(P377:P379)</f>
        <v>15845000</v>
      </c>
    </row>
    <row r="381" spans="1:16" ht="19.5">
      <c r="A381" s="496">
        <v>4267111</v>
      </c>
      <c r="B381" s="497" t="s">
        <v>498</v>
      </c>
      <c r="C381" s="498">
        <v>4678636.67</v>
      </c>
      <c r="D381" s="498">
        <v>4093572.38</v>
      </c>
      <c r="E381" s="498"/>
      <c r="F381" s="498">
        <v>585064.29</v>
      </c>
      <c r="G381" s="527">
        <f aca="true" t="shared" si="21" ref="G381:G386">C381/9*11</f>
        <v>5718333.707777778</v>
      </c>
      <c r="H381" s="498"/>
      <c r="I381" s="498"/>
      <c r="J381" s="498"/>
      <c r="K381" s="498"/>
      <c r="L381" s="498">
        <v>18451000</v>
      </c>
      <c r="M381" s="498">
        <v>25.357089968023413</v>
      </c>
      <c r="N381" s="483">
        <f t="shared" si="19"/>
        <v>1.0938997892798885</v>
      </c>
      <c r="O381" s="483">
        <f t="shared" si="20"/>
        <v>6238182.226666667</v>
      </c>
      <c r="P381" s="483"/>
    </row>
    <row r="382" spans="1:16" ht="12.75">
      <c r="A382" s="485">
        <v>4267112</v>
      </c>
      <c r="B382" s="483" t="s">
        <v>499</v>
      </c>
      <c r="C382" s="483">
        <v>678510.78</v>
      </c>
      <c r="D382" s="483">
        <v>606061.14</v>
      </c>
      <c r="E382" s="483"/>
      <c r="F382" s="483">
        <v>72449.64</v>
      </c>
      <c r="G382" s="527">
        <f t="shared" si="21"/>
        <v>829290.9533333334</v>
      </c>
      <c r="H382" s="483"/>
      <c r="I382" s="483"/>
      <c r="J382" s="483"/>
      <c r="K382" s="483"/>
      <c r="L382" s="483"/>
      <c r="M382" s="483"/>
      <c r="N382" s="483">
        <f t="shared" si="19"/>
        <v>0.15864082886054345</v>
      </c>
      <c r="O382" s="483">
        <f t="shared" si="20"/>
        <v>904681.04</v>
      </c>
      <c r="P382" s="483"/>
    </row>
    <row r="383" spans="1:16" ht="12.75">
      <c r="A383" s="485">
        <v>4267113</v>
      </c>
      <c r="B383" s="483" t="s">
        <v>72</v>
      </c>
      <c r="C383" s="498">
        <v>2107309.29</v>
      </c>
      <c r="D383" s="483"/>
      <c r="E383" s="483">
        <v>53395</v>
      </c>
      <c r="F383" s="483">
        <v>2053914.29</v>
      </c>
      <c r="G383" s="527">
        <f t="shared" si="21"/>
        <v>2575600.2433333336</v>
      </c>
      <c r="H383" s="483"/>
      <c r="I383" s="483"/>
      <c r="J383" s="483"/>
      <c r="K383" s="483"/>
      <c r="L383" s="483">
        <v>3200000</v>
      </c>
      <c r="M383" s="483">
        <v>65.8534153125</v>
      </c>
      <c r="N383" s="483">
        <f t="shared" si="19"/>
        <v>0.4927044673205094</v>
      </c>
      <c r="O383" s="483">
        <f t="shared" si="20"/>
        <v>2809745.72</v>
      </c>
      <c r="P383" s="483">
        <v>2300000</v>
      </c>
    </row>
    <row r="384" spans="1:16" ht="12.75">
      <c r="A384" s="485">
        <v>426721</v>
      </c>
      <c r="B384" s="483" t="s">
        <v>73</v>
      </c>
      <c r="C384" s="483">
        <v>5191333.56</v>
      </c>
      <c r="D384" s="483">
        <v>3079239.8</v>
      </c>
      <c r="E384" s="483"/>
      <c r="F384" s="483">
        <v>2112093.76</v>
      </c>
      <c r="G384" s="527">
        <f t="shared" si="21"/>
        <v>6344963.239999999</v>
      </c>
      <c r="H384" s="498"/>
      <c r="I384" s="498"/>
      <c r="J384" s="483"/>
      <c r="K384" s="483"/>
      <c r="L384" s="483"/>
      <c r="M384" s="483"/>
      <c r="N384" s="483">
        <f t="shared" si="19"/>
        <v>1.2137721066862868</v>
      </c>
      <c r="O384" s="483">
        <f t="shared" si="20"/>
        <v>6921778.079999999</v>
      </c>
      <c r="P384" s="527">
        <v>12000000</v>
      </c>
    </row>
    <row r="385" spans="1:16" ht="12.75">
      <c r="A385" s="485">
        <v>4267511</v>
      </c>
      <c r="B385" s="483" t="s">
        <v>75</v>
      </c>
      <c r="C385" s="483">
        <v>8586683.33</v>
      </c>
      <c r="D385" s="483">
        <v>7440614.87</v>
      </c>
      <c r="E385" s="483"/>
      <c r="F385" s="483">
        <v>1146068.46</v>
      </c>
      <c r="G385" s="527">
        <f t="shared" si="21"/>
        <v>10494835.181111112</v>
      </c>
      <c r="H385" s="498"/>
      <c r="I385" s="498"/>
      <c r="J385" s="483"/>
      <c r="K385" s="483"/>
      <c r="L385" s="483">
        <v>13428000</v>
      </c>
      <c r="M385" s="483">
        <v>63.946107610962166</v>
      </c>
      <c r="N385" s="483">
        <f t="shared" si="19"/>
        <v>2.0076299460330036</v>
      </c>
      <c r="O385" s="483">
        <f t="shared" si="20"/>
        <v>11448911.106666667</v>
      </c>
      <c r="P385" s="527">
        <v>13900000</v>
      </c>
    </row>
    <row r="386" spans="1:16" ht="12.75">
      <c r="A386" s="485">
        <v>4267512</v>
      </c>
      <c r="B386" s="483" t="s">
        <v>74</v>
      </c>
      <c r="C386" s="483">
        <v>1535038.99</v>
      </c>
      <c r="D386" s="483">
        <v>1535038.99</v>
      </c>
      <c r="E386" s="483"/>
      <c r="F386" s="483"/>
      <c r="G386" s="527">
        <f t="shared" si="21"/>
        <v>1876158.7655555555</v>
      </c>
      <c r="H386" s="498"/>
      <c r="I386" s="498"/>
      <c r="J386" s="483"/>
      <c r="K386" s="483"/>
      <c r="L386" s="483"/>
      <c r="M386" s="483"/>
      <c r="N386" s="483">
        <f t="shared" si="19"/>
        <v>0.3589034469089076</v>
      </c>
      <c r="O386" s="483">
        <f t="shared" si="20"/>
        <v>2046718.6533333333</v>
      </c>
      <c r="P386" s="527">
        <v>1800000</v>
      </c>
    </row>
    <row r="387" spans="1:16" ht="12.75">
      <c r="A387" s="488">
        <v>4267</v>
      </c>
      <c r="B387" s="489" t="s">
        <v>117</v>
      </c>
      <c r="C387" s="489">
        <v>22777512.62</v>
      </c>
      <c r="D387" s="489">
        <v>16754527.18</v>
      </c>
      <c r="E387" s="489">
        <v>53395</v>
      </c>
      <c r="F387" s="489">
        <v>5969590.44</v>
      </c>
      <c r="G387" s="527">
        <f>SUM(G381:G386)</f>
        <v>27839182.091111112</v>
      </c>
      <c r="H387" s="498"/>
      <c r="I387" s="534"/>
      <c r="J387" s="489"/>
      <c r="K387" s="489"/>
      <c r="L387" s="489">
        <v>35079000</v>
      </c>
      <c r="M387" s="489">
        <v>64.93204658057527</v>
      </c>
      <c r="N387" s="489">
        <f t="shared" si="19"/>
        <v>5.32555058508914</v>
      </c>
      <c r="O387" s="483">
        <f t="shared" si="20"/>
        <v>30370016.826666668</v>
      </c>
      <c r="P387" s="506">
        <v>30000000</v>
      </c>
    </row>
    <row r="388" spans="1:16" ht="12.75">
      <c r="A388" s="485">
        <v>426811</v>
      </c>
      <c r="B388" s="483" t="s">
        <v>76</v>
      </c>
      <c r="C388" s="483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>
        <f t="shared" si="19"/>
        <v>0</v>
      </c>
      <c r="O388" s="483">
        <f t="shared" si="20"/>
        <v>0</v>
      </c>
      <c r="P388" s="483"/>
    </row>
    <row r="389" spans="1:16" ht="12.75">
      <c r="A389" s="485">
        <v>426812</v>
      </c>
      <c r="B389" s="483" t="s">
        <v>77</v>
      </c>
      <c r="C389" s="483">
        <v>92248.18</v>
      </c>
      <c r="D389" s="483">
        <v>89648.18</v>
      </c>
      <c r="E389" s="483">
        <v>2600</v>
      </c>
      <c r="F389" s="483"/>
      <c r="G389" s="483"/>
      <c r="H389" s="483"/>
      <c r="I389" s="483"/>
      <c r="J389" s="483"/>
      <c r="K389" s="483"/>
      <c r="L389" s="483"/>
      <c r="M389" s="483"/>
      <c r="N389" s="483">
        <f t="shared" si="19"/>
        <v>0.02156830542335172</v>
      </c>
      <c r="O389" s="483">
        <f t="shared" si="20"/>
        <v>122997.57333333332</v>
      </c>
      <c r="P389" s="483"/>
    </row>
    <row r="390" spans="1:16" ht="12.75">
      <c r="A390" s="485">
        <v>426819</v>
      </c>
      <c r="B390" s="483" t="s">
        <v>78</v>
      </c>
      <c r="C390" s="483">
        <v>985341.4</v>
      </c>
      <c r="D390" s="483">
        <v>803574.4</v>
      </c>
      <c r="E390" s="483">
        <v>181767</v>
      </c>
      <c r="F390" s="483"/>
      <c r="G390" s="483"/>
      <c r="H390" s="483"/>
      <c r="I390" s="483"/>
      <c r="J390" s="483"/>
      <c r="K390" s="483"/>
      <c r="L390" s="483"/>
      <c r="M390" s="483"/>
      <c r="N390" s="483">
        <f t="shared" si="19"/>
        <v>0.23038009271806748</v>
      </c>
      <c r="O390" s="483">
        <f t="shared" si="20"/>
        <v>1313788.5333333334</v>
      </c>
      <c r="P390" s="483"/>
    </row>
    <row r="391" spans="1:16" ht="12.75">
      <c r="A391" s="488">
        <v>4268</v>
      </c>
      <c r="B391" s="489" t="s">
        <v>118</v>
      </c>
      <c r="C391" s="489">
        <v>1077589.58</v>
      </c>
      <c r="D391" s="489">
        <v>893222.5800000001</v>
      </c>
      <c r="E391" s="489">
        <v>184367</v>
      </c>
      <c r="F391" s="489"/>
      <c r="G391" s="489"/>
      <c r="H391" s="489"/>
      <c r="I391" s="489"/>
      <c r="J391" s="489"/>
      <c r="K391" s="489"/>
      <c r="L391" s="489">
        <v>2000000</v>
      </c>
      <c r="M391" s="489">
        <v>53.879479</v>
      </c>
      <c r="N391" s="489">
        <f t="shared" si="19"/>
        <v>0.25194839814141917</v>
      </c>
      <c r="O391" s="483">
        <f t="shared" si="20"/>
        <v>1436786.1066666667</v>
      </c>
      <c r="P391" s="506">
        <v>1500000</v>
      </c>
    </row>
    <row r="392" spans="1:16" ht="12.75">
      <c r="A392" s="485">
        <v>426911</v>
      </c>
      <c r="B392" s="483" t="s">
        <v>79</v>
      </c>
      <c r="C392" s="483">
        <v>177061.72</v>
      </c>
      <c r="D392" s="483">
        <v>161199.4</v>
      </c>
      <c r="E392" s="483"/>
      <c r="F392" s="483">
        <v>15862.32</v>
      </c>
      <c r="G392" s="483"/>
      <c r="H392" s="483"/>
      <c r="I392" s="483"/>
      <c r="J392" s="483"/>
      <c r="K392" s="483"/>
      <c r="L392" s="483"/>
      <c r="M392" s="483"/>
      <c r="N392" s="483">
        <f t="shared" si="19"/>
        <v>0.04139833713514981</v>
      </c>
      <c r="O392" s="483">
        <f t="shared" si="20"/>
        <v>236082.29333333333</v>
      </c>
      <c r="P392" s="483"/>
    </row>
    <row r="393" spans="1:16" ht="12.75">
      <c r="A393" s="485">
        <v>426913</v>
      </c>
      <c r="B393" s="483" t="s">
        <v>80</v>
      </c>
      <c r="C393" s="483">
        <v>902445.62</v>
      </c>
      <c r="D393" s="483">
        <v>241699.2</v>
      </c>
      <c r="E393" s="483">
        <v>33631.9</v>
      </c>
      <c r="F393" s="483">
        <v>627114.52</v>
      </c>
      <c r="G393" s="483"/>
      <c r="H393" s="483"/>
      <c r="I393" s="483"/>
      <c r="J393" s="483"/>
      <c r="K393" s="483"/>
      <c r="L393" s="483"/>
      <c r="M393" s="483"/>
      <c r="N393" s="483">
        <f t="shared" si="19"/>
        <v>0.21099844745041046</v>
      </c>
      <c r="O393" s="483">
        <f t="shared" si="20"/>
        <v>1203260.8266666667</v>
      </c>
      <c r="P393" s="483"/>
    </row>
    <row r="394" spans="1:16" ht="12.75">
      <c r="A394" s="485">
        <v>426919</v>
      </c>
      <c r="B394" s="483" t="s">
        <v>81</v>
      </c>
      <c r="C394" s="483">
        <v>499220.52</v>
      </c>
      <c r="D394" s="483">
        <v>266846.47</v>
      </c>
      <c r="E394" s="483"/>
      <c r="F394" s="483">
        <v>232374.05</v>
      </c>
      <c r="G394" s="483"/>
      <c r="H394" s="483"/>
      <c r="I394" s="483"/>
      <c r="J394" s="483"/>
      <c r="K394" s="483"/>
      <c r="L394" s="483"/>
      <c r="M394" s="483"/>
      <c r="N394" s="483">
        <f t="shared" si="19"/>
        <v>0.11672144262319827</v>
      </c>
      <c r="O394" s="483">
        <f t="shared" si="20"/>
        <v>665627.36</v>
      </c>
      <c r="P394" s="483"/>
    </row>
    <row r="395" spans="1:16" ht="12.75">
      <c r="A395" s="488">
        <v>4269</v>
      </c>
      <c r="B395" s="489" t="s">
        <v>119</v>
      </c>
      <c r="C395" s="489">
        <v>1578727.86</v>
      </c>
      <c r="D395" s="489">
        <v>669745.07</v>
      </c>
      <c r="E395" s="489">
        <v>33631.9</v>
      </c>
      <c r="F395" s="489">
        <v>875350.8899999999</v>
      </c>
      <c r="G395" s="489">
        <v>0</v>
      </c>
      <c r="H395" s="489"/>
      <c r="I395" s="489"/>
      <c r="J395" s="489"/>
      <c r="K395" s="489"/>
      <c r="L395" s="489">
        <v>2822000</v>
      </c>
      <c r="M395" s="489">
        <v>55.9435811481219</v>
      </c>
      <c r="N395" s="489">
        <f t="shared" si="19"/>
        <v>0.36911822720875853</v>
      </c>
      <c r="O395" s="483">
        <f t="shared" si="20"/>
        <v>2104970.48</v>
      </c>
      <c r="P395" s="506">
        <v>2200000</v>
      </c>
    </row>
    <row r="396" spans="1:16" ht="12.75">
      <c r="A396" s="486">
        <v>4300</v>
      </c>
      <c r="B396" s="487" t="s">
        <v>500</v>
      </c>
      <c r="C396" s="487">
        <v>0</v>
      </c>
      <c r="D396" s="487">
        <v>0</v>
      </c>
      <c r="E396" s="487">
        <v>0</v>
      </c>
      <c r="F396" s="487">
        <v>0</v>
      </c>
      <c r="G396" s="487">
        <v>0</v>
      </c>
      <c r="H396" s="487">
        <v>0</v>
      </c>
      <c r="I396" s="487">
        <v>0</v>
      </c>
      <c r="J396" s="487">
        <v>0</v>
      </c>
      <c r="K396" s="487">
        <v>0</v>
      </c>
      <c r="L396" s="487">
        <v>400000</v>
      </c>
      <c r="M396" s="487">
        <v>0</v>
      </c>
      <c r="N396" s="487">
        <f t="shared" si="19"/>
        <v>0</v>
      </c>
      <c r="O396" s="483">
        <f t="shared" si="20"/>
        <v>0</v>
      </c>
      <c r="P396" s="509">
        <v>400000</v>
      </c>
    </row>
    <row r="397" spans="1:16" ht="12.75">
      <c r="A397" s="485">
        <v>4311</v>
      </c>
      <c r="B397" s="483" t="s">
        <v>83</v>
      </c>
      <c r="C397" s="483">
        <v>0</v>
      </c>
      <c r="D397" s="483"/>
      <c r="E397" s="483"/>
      <c r="F397" s="483">
        <v>0</v>
      </c>
      <c r="G397" s="483">
        <v>0</v>
      </c>
      <c r="H397" s="483"/>
      <c r="I397" s="483"/>
      <c r="J397" s="483"/>
      <c r="K397" s="483"/>
      <c r="L397" s="483"/>
      <c r="M397" s="483"/>
      <c r="N397" s="483">
        <f t="shared" si="19"/>
        <v>0</v>
      </c>
      <c r="O397" s="483">
        <f t="shared" si="20"/>
        <v>0</v>
      </c>
      <c r="P397" s="483"/>
    </row>
    <row r="398" spans="1:16" ht="12.75">
      <c r="A398" s="485">
        <v>4312</v>
      </c>
      <c r="B398" s="483" t="s">
        <v>84</v>
      </c>
      <c r="C398" s="483">
        <v>0</v>
      </c>
      <c r="D398" s="483"/>
      <c r="E398" s="483"/>
      <c r="F398" s="483">
        <v>0</v>
      </c>
      <c r="G398" s="483">
        <v>0</v>
      </c>
      <c r="H398" s="483"/>
      <c r="I398" s="483"/>
      <c r="J398" s="483"/>
      <c r="K398" s="483"/>
      <c r="L398" s="483"/>
      <c r="M398" s="483"/>
      <c r="N398" s="483">
        <f t="shared" si="19"/>
        <v>0</v>
      </c>
      <c r="O398" s="483">
        <f t="shared" si="20"/>
        <v>0</v>
      </c>
      <c r="P398" s="483"/>
    </row>
    <row r="399" spans="1:16" ht="18.75">
      <c r="A399" s="486">
        <v>4400</v>
      </c>
      <c r="B399" s="493" t="s">
        <v>424</v>
      </c>
      <c r="C399" s="487">
        <v>18705.17</v>
      </c>
      <c r="D399" s="487">
        <v>0</v>
      </c>
      <c r="E399" s="487">
        <v>0</v>
      </c>
      <c r="F399" s="487">
        <v>14296.66</v>
      </c>
      <c r="G399" s="487">
        <v>4408.51</v>
      </c>
      <c r="H399" s="487">
        <v>0</v>
      </c>
      <c r="I399" s="487">
        <v>0</v>
      </c>
      <c r="J399" s="487">
        <v>0</v>
      </c>
      <c r="K399" s="487">
        <v>0</v>
      </c>
      <c r="L399" s="487">
        <v>40000</v>
      </c>
      <c r="M399" s="487">
        <v>46.762924999999996</v>
      </c>
      <c r="N399" s="487">
        <f t="shared" si="19"/>
        <v>0.0043734068201206336</v>
      </c>
      <c r="O399" s="483">
        <f t="shared" si="20"/>
        <v>24940.226666666666</v>
      </c>
      <c r="P399" s="509">
        <v>40000</v>
      </c>
    </row>
    <row r="400" spans="1:16" ht="12.75">
      <c r="A400" s="485">
        <v>444211</v>
      </c>
      <c r="B400" s="483" t="s">
        <v>85</v>
      </c>
      <c r="C400" s="483">
        <v>18705.17</v>
      </c>
      <c r="D400" s="483"/>
      <c r="E400" s="483"/>
      <c r="F400" s="483">
        <v>14296.66</v>
      </c>
      <c r="G400" s="483">
        <v>4408.51</v>
      </c>
      <c r="H400" s="483"/>
      <c r="I400" s="483"/>
      <c r="J400" s="483"/>
      <c r="K400" s="483"/>
      <c r="L400" s="483"/>
      <c r="M400" s="483"/>
      <c r="N400" s="483">
        <f t="shared" si="19"/>
        <v>0.0043734068201206336</v>
      </c>
      <c r="O400" s="483">
        <f t="shared" si="20"/>
        <v>24940.226666666666</v>
      </c>
      <c r="P400" s="483"/>
    </row>
    <row r="401" spans="1:16" ht="12.75">
      <c r="A401" s="485">
        <v>4442</v>
      </c>
      <c r="B401" s="483" t="s">
        <v>85</v>
      </c>
      <c r="C401" s="483">
        <v>18705.17</v>
      </c>
      <c r="D401" s="483"/>
      <c r="E401" s="483"/>
      <c r="F401" s="483">
        <v>14296.66</v>
      </c>
      <c r="G401" s="483">
        <v>4408.51</v>
      </c>
      <c r="H401" s="483"/>
      <c r="I401" s="483"/>
      <c r="J401" s="483"/>
      <c r="K401" s="483"/>
      <c r="L401" s="483"/>
      <c r="M401" s="483"/>
      <c r="N401" s="483">
        <f t="shared" si="19"/>
        <v>0.0043734068201206336</v>
      </c>
      <c r="O401" s="483">
        <f t="shared" si="20"/>
        <v>24940.226666666666</v>
      </c>
      <c r="P401" s="483"/>
    </row>
    <row r="402" spans="1:16" ht="39">
      <c r="A402" s="483" t="s">
        <v>0</v>
      </c>
      <c r="B402" s="483" t="s">
        <v>1</v>
      </c>
      <c r="C402" s="483" t="s">
        <v>2</v>
      </c>
      <c r="D402" s="483" t="s">
        <v>403</v>
      </c>
      <c r="E402" s="483" t="s">
        <v>4</v>
      </c>
      <c r="F402" s="484" t="s">
        <v>457</v>
      </c>
      <c r="G402" s="483" t="s">
        <v>6</v>
      </c>
      <c r="H402" s="484" t="s">
        <v>458</v>
      </c>
      <c r="I402" s="483" t="s">
        <v>191</v>
      </c>
      <c r="J402" s="483" t="s">
        <v>459</v>
      </c>
      <c r="K402" s="484" t="s">
        <v>460</v>
      </c>
      <c r="L402" s="483" t="s">
        <v>201</v>
      </c>
      <c r="M402" s="484" t="s">
        <v>461</v>
      </c>
      <c r="N402" s="497" t="s">
        <v>462</v>
      </c>
      <c r="O402" s="483" t="e">
        <f t="shared" si="20"/>
        <v>#VALUE!</v>
      </c>
      <c r="P402" s="483"/>
    </row>
    <row r="403" spans="1:16" ht="12.75">
      <c r="A403" s="486">
        <v>4800</v>
      </c>
      <c r="B403" s="487" t="s">
        <v>501</v>
      </c>
      <c r="C403" s="487">
        <v>2111727.94</v>
      </c>
      <c r="D403" s="487">
        <v>216222.5</v>
      </c>
      <c r="E403" s="487">
        <v>0</v>
      </c>
      <c r="F403" s="487">
        <v>1589687</v>
      </c>
      <c r="G403" s="487">
        <v>305818.44</v>
      </c>
      <c r="H403" s="487">
        <v>0</v>
      </c>
      <c r="I403" s="487">
        <v>0</v>
      </c>
      <c r="J403" s="487">
        <v>0</v>
      </c>
      <c r="K403" s="487">
        <v>0</v>
      </c>
      <c r="L403" s="487">
        <v>2800000</v>
      </c>
      <c r="M403" s="487">
        <v>75.418855</v>
      </c>
      <c r="N403" s="487">
        <f aca="true" t="shared" si="22" ref="N403:N412">C403*100/427702493.03</f>
        <v>0.4937375803072251</v>
      </c>
      <c r="O403" s="483">
        <f t="shared" si="20"/>
        <v>2815637.2533333334</v>
      </c>
      <c r="P403" s="507">
        <v>2900000</v>
      </c>
    </row>
    <row r="404" spans="1:16" ht="12.75">
      <c r="A404" s="485">
        <v>482111</v>
      </c>
      <c r="B404" s="483" t="s">
        <v>502</v>
      </c>
      <c r="C404" s="483">
        <v>39750</v>
      </c>
      <c r="D404" s="483"/>
      <c r="E404" s="483"/>
      <c r="F404" s="483">
        <v>39750</v>
      </c>
      <c r="G404" s="483"/>
      <c r="H404" s="483"/>
      <c r="I404" s="483"/>
      <c r="J404" s="483"/>
      <c r="K404" s="483"/>
      <c r="L404" s="483"/>
      <c r="M404" s="483"/>
      <c r="N404" s="483">
        <f t="shared" si="22"/>
        <v>0.009293843418680248</v>
      </c>
      <c r="O404" s="483">
        <f t="shared" si="20"/>
        <v>53000</v>
      </c>
      <c r="P404" s="483"/>
    </row>
    <row r="405" spans="1:16" ht="12.75">
      <c r="A405" s="485">
        <v>482131</v>
      </c>
      <c r="B405" s="483" t="s">
        <v>86</v>
      </c>
      <c r="C405" s="483">
        <v>87705.5</v>
      </c>
      <c r="D405" s="483">
        <v>87705.5</v>
      </c>
      <c r="E405" s="483"/>
      <c r="F405" s="483"/>
      <c r="G405" s="483"/>
      <c r="H405" s="483"/>
      <c r="I405" s="483"/>
      <c r="J405" s="483"/>
      <c r="K405" s="483"/>
      <c r="L405" s="483"/>
      <c r="M405" s="483"/>
      <c r="N405" s="483">
        <f t="shared" si="22"/>
        <v>0.02050619330709586</v>
      </c>
      <c r="O405" s="483">
        <f t="shared" si="20"/>
        <v>116940.66666666667</v>
      </c>
      <c r="P405" s="483"/>
    </row>
    <row r="406" spans="1:16" ht="12.75">
      <c r="A406" s="485">
        <v>482191</v>
      </c>
      <c r="B406" s="483" t="s">
        <v>87</v>
      </c>
      <c r="C406" s="483">
        <v>1636939.44</v>
      </c>
      <c r="D406" s="483"/>
      <c r="E406" s="483"/>
      <c r="F406" s="483">
        <v>1515321</v>
      </c>
      <c r="G406" s="483">
        <v>121618.44</v>
      </c>
      <c r="H406" s="483"/>
      <c r="I406" s="483"/>
      <c r="J406" s="483"/>
      <c r="K406" s="483"/>
      <c r="L406" s="483"/>
      <c r="M406" s="483"/>
      <c r="N406" s="483">
        <f t="shared" si="22"/>
        <v>0.382728524307475</v>
      </c>
      <c r="O406" s="483">
        <f t="shared" si="20"/>
        <v>2182585.92</v>
      </c>
      <c r="P406" s="483"/>
    </row>
    <row r="407" spans="1:16" ht="12.75">
      <c r="A407" s="488">
        <v>4821</v>
      </c>
      <c r="B407" s="489" t="s">
        <v>87</v>
      </c>
      <c r="C407" s="489">
        <v>1764394.94</v>
      </c>
      <c r="D407" s="489">
        <v>87705.5</v>
      </c>
      <c r="E407" s="489"/>
      <c r="F407" s="489">
        <v>1555071</v>
      </c>
      <c r="G407" s="489">
        <v>121618.44</v>
      </c>
      <c r="H407" s="489"/>
      <c r="I407" s="489"/>
      <c r="J407" s="489"/>
      <c r="K407" s="489"/>
      <c r="L407" s="489"/>
      <c r="M407" s="489"/>
      <c r="N407" s="489">
        <f t="shared" si="22"/>
        <v>0.4125285610332511</v>
      </c>
      <c r="O407" s="483">
        <f t="shared" si="20"/>
        <v>2352526.5866666664</v>
      </c>
      <c r="P407" s="506">
        <v>2400000</v>
      </c>
    </row>
    <row r="408" spans="1:16" ht="12.75">
      <c r="A408" s="485">
        <v>482211</v>
      </c>
      <c r="B408" s="483" t="s">
        <v>88</v>
      </c>
      <c r="C408" s="483">
        <v>600</v>
      </c>
      <c r="D408" s="483"/>
      <c r="E408" s="483"/>
      <c r="F408" s="483">
        <v>600</v>
      </c>
      <c r="G408" s="483"/>
      <c r="H408" s="483"/>
      <c r="I408" s="483"/>
      <c r="J408" s="483"/>
      <c r="K408" s="483"/>
      <c r="L408" s="483"/>
      <c r="M408" s="483"/>
      <c r="N408" s="483">
        <f t="shared" si="22"/>
        <v>0.0001402844289612113</v>
      </c>
      <c r="O408" s="483">
        <f t="shared" si="20"/>
        <v>800</v>
      </c>
      <c r="P408" s="483"/>
    </row>
    <row r="409" spans="1:16" ht="12.75">
      <c r="A409" s="485">
        <v>482241</v>
      </c>
      <c r="B409" s="483" t="s">
        <v>91</v>
      </c>
      <c r="C409" s="483">
        <v>312717</v>
      </c>
      <c r="D409" s="483">
        <v>128517</v>
      </c>
      <c r="E409" s="483"/>
      <c r="F409" s="483"/>
      <c r="G409" s="483">
        <v>184200</v>
      </c>
      <c r="H409" s="483"/>
      <c r="I409" s="483"/>
      <c r="J409" s="483"/>
      <c r="K409" s="483"/>
      <c r="L409" s="483"/>
      <c r="M409" s="483"/>
      <c r="N409" s="483">
        <f t="shared" si="22"/>
        <v>0.07311554295243852</v>
      </c>
      <c r="O409" s="483">
        <f t="shared" si="20"/>
        <v>416956</v>
      </c>
      <c r="P409" s="483"/>
    </row>
    <row r="410" spans="1:16" ht="12.75">
      <c r="A410" s="485">
        <v>482251</v>
      </c>
      <c r="B410" s="483" t="s">
        <v>89</v>
      </c>
      <c r="C410" s="483">
        <v>34016</v>
      </c>
      <c r="D410" s="483"/>
      <c r="E410" s="483"/>
      <c r="F410" s="483">
        <v>34016</v>
      </c>
      <c r="G410" s="483"/>
      <c r="H410" s="483"/>
      <c r="I410" s="483"/>
      <c r="J410" s="483"/>
      <c r="K410" s="483"/>
      <c r="L410" s="483"/>
      <c r="M410" s="483"/>
      <c r="N410" s="483">
        <f t="shared" si="22"/>
        <v>0.007953191892574272</v>
      </c>
      <c r="O410" s="483">
        <f t="shared" si="20"/>
        <v>45354.666666666664</v>
      </c>
      <c r="P410" s="483"/>
    </row>
    <row r="411" spans="1:16" ht="12.75">
      <c r="A411" s="488">
        <v>4822</v>
      </c>
      <c r="B411" s="489" t="s">
        <v>90</v>
      </c>
      <c r="C411" s="489">
        <v>347333</v>
      </c>
      <c r="D411" s="489">
        <v>128517</v>
      </c>
      <c r="E411" s="489"/>
      <c r="F411" s="489">
        <v>34616</v>
      </c>
      <c r="G411" s="489">
        <v>184200</v>
      </c>
      <c r="H411" s="489"/>
      <c r="I411" s="489"/>
      <c r="J411" s="489"/>
      <c r="K411" s="489"/>
      <c r="L411" s="489"/>
      <c r="M411" s="489"/>
      <c r="N411" s="489">
        <f t="shared" si="22"/>
        <v>0.081209019273974</v>
      </c>
      <c r="O411" s="483">
        <f t="shared" si="20"/>
        <v>463110.6666666667</v>
      </c>
      <c r="P411" s="506">
        <v>500000</v>
      </c>
    </row>
    <row r="412" spans="1:16" ht="12.75">
      <c r="A412" s="485"/>
      <c r="B412" s="483" t="s">
        <v>503</v>
      </c>
      <c r="C412" s="483">
        <v>427702193.03</v>
      </c>
      <c r="D412" s="483">
        <v>391064325.34999996</v>
      </c>
      <c r="E412" s="483">
        <v>2626297.7</v>
      </c>
      <c r="F412" s="483">
        <v>26483309.499999996</v>
      </c>
      <c r="G412" s="483">
        <v>2366740.3400000003</v>
      </c>
      <c r="H412" s="483">
        <v>5031117.63</v>
      </c>
      <c r="I412" s="483">
        <v>0</v>
      </c>
      <c r="J412" s="483">
        <v>130402.51</v>
      </c>
      <c r="K412" s="483">
        <v>0</v>
      </c>
      <c r="L412" s="483">
        <v>594760000</v>
      </c>
      <c r="M412" s="483">
        <v>71.9117279289125</v>
      </c>
      <c r="N412" s="483">
        <f t="shared" si="22"/>
        <v>99.99992985778553</v>
      </c>
      <c r="O412" s="483">
        <f t="shared" si="20"/>
        <v>570269590.7066666</v>
      </c>
      <c r="P412" s="507">
        <f>P403+P399+P396+P368+P344+P338+P311+P281+P278+P268+P265+P279+P280</f>
        <v>602047800</v>
      </c>
    </row>
    <row r="413" spans="1:16" ht="12.75">
      <c r="A413" s="499"/>
      <c r="B413" s="483" t="s">
        <v>504</v>
      </c>
      <c r="C413" s="483">
        <f>C412*100/427702193.03</f>
        <v>100</v>
      </c>
      <c r="D413" s="483">
        <f aca="true" t="shared" si="23" ref="D413:K413">D412*100/427702193.03</f>
        <v>91.43379008172865</v>
      </c>
      <c r="E413" s="483">
        <f t="shared" si="23"/>
        <v>0.6140482192514234</v>
      </c>
      <c r="F413" s="483">
        <f t="shared" si="23"/>
        <v>6.191997593555102</v>
      </c>
      <c r="G413" s="483">
        <f t="shared" si="23"/>
        <v>0.5533617499674574</v>
      </c>
      <c r="H413" s="483">
        <f t="shared" si="23"/>
        <v>1.1763132646942276</v>
      </c>
      <c r="I413" s="483">
        <f t="shared" si="23"/>
        <v>0</v>
      </c>
      <c r="J413" s="483">
        <f t="shared" si="23"/>
        <v>0.03048909080315454</v>
      </c>
      <c r="K413" s="483">
        <f t="shared" si="23"/>
        <v>0</v>
      </c>
      <c r="L413" s="481"/>
      <c r="M413" s="481"/>
      <c r="N413" s="481"/>
      <c r="O413" s="483">
        <f t="shared" si="20"/>
        <v>133.33333333333334</v>
      </c>
      <c r="P413" s="483"/>
    </row>
    <row r="414" spans="1:16" ht="12.75">
      <c r="A414" s="499"/>
      <c r="B414" s="481"/>
      <c r="C414" s="481"/>
      <c r="D414" s="481"/>
      <c r="E414" s="481"/>
      <c r="F414" s="481"/>
      <c r="G414" s="481"/>
      <c r="H414" s="481"/>
      <c r="I414" s="481"/>
      <c r="J414" s="481"/>
      <c r="K414" s="481"/>
      <c r="L414" s="481"/>
      <c r="M414" s="481"/>
      <c r="N414" s="481"/>
      <c r="O414" s="483"/>
      <c r="P414" s="483"/>
    </row>
    <row r="415" spans="1:16" ht="12.75">
      <c r="A415" s="499"/>
      <c r="B415" s="481"/>
      <c r="C415" s="481"/>
      <c r="D415" s="482" t="s">
        <v>455</v>
      </c>
      <c r="E415" s="482"/>
      <c r="F415" s="482"/>
      <c r="G415" s="482"/>
      <c r="H415" s="481"/>
      <c r="I415" s="481"/>
      <c r="J415" s="481"/>
      <c r="K415" s="481"/>
      <c r="L415" s="481"/>
      <c r="M415" s="481"/>
      <c r="N415" s="481"/>
      <c r="O415" s="483"/>
      <c r="P415" s="483"/>
    </row>
    <row r="416" spans="1:16" ht="12.75">
      <c r="A416" s="500" t="s">
        <v>195</v>
      </c>
      <c r="B416" s="481"/>
      <c r="C416" s="481"/>
      <c r="D416" s="481"/>
      <c r="E416" s="481"/>
      <c r="F416" s="481"/>
      <c r="G416" s="481"/>
      <c r="H416" s="481"/>
      <c r="I416" s="481"/>
      <c r="J416" s="481"/>
      <c r="K416" s="481"/>
      <c r="L416" s="481"/>
      <c r="M416" s="481"/>
      <c r="N416" s="481"/>
      <c r="O416" s="483"/>
      <c r="P416" s="483"/>
    </row>
    <row r="417" spans="1:16" ht="39">
      <c r="A417" s="483" t="s">
        <v>0</v>
      </c>
      <c r="B417" s="483" t="s">
        <v>1</v>
      </c>
      <c r="C417" s="483" t="s">
        <v>2</v>
      </c>
      <c r="D417" s="483" t="s">
        <v>403</v>
      </c>
      <c r="E417" s="483" t="s">
        <v>4</v>
      </c>
      <c r="F417" s="484" t="s">
        <v>457</v>
      </c>
      <c r="G417" s="483" t="s">
        <v>6</v>
      </c>
      <c r="H417" s="484" t="s">
        <v>458</v>
      </c>
      <c r="I417" s="483" t="s">
        <v>191</v>
      </c>
      <c r="J417" s="483" t="s">
        <v>459</v>
      </c>
      <c r="K417" s="484" t="s">
        <v>460</v>
      </c>
      <c r="L417" s="483" t="s">
        <v>201</v>
      </c>
      <c r="M417" s="484" t="s">
        <v>461</v>
      </c>
      <c r="N417" s="484" t="s">
        <v>505</v>
      </c>
      <c r="O417" s="483" t="e">
        <f aca="true" t="shared" si="24" ref="O417:O441">C417/3*4</f>
        <v>#VALUE!</v>
      </c>
      <c r="P417" s="483"/>
    </row>
    <row r="418" spans="1:16" ht="12.75">
      <c r="A418" s="485">
        <v>511322</v>
      </c>
      <c r="B418" s="483" t="s">
        <v>506</v>
      </c>
      <c r="C418" s="483">
        <v>573554.34</v>
      </c>
      <c r="D418" s="483"/>
      <c r="E418" s="483"/>
      <c r="F418" s="483">
        <v>573554.34</v>
      </c>
      <c r="G418" s="483"/>
      <c r="H418" s="483"/>
      <c r="I418" s="483"/>
      <c r="J418" s="483"/>
      <c r="K418" s="483"/>
      <c r="L418" s="483"/>
      <c r="M418" s="483"/>
      <c r="N418" s="483"/>
      <c r="O418" s="483">
        <f t="shared" si="24"/>
        <v>764739.12</v>
      </c>
      <c r="P418" s="483"/>
    </row>
    <row r="419" spans="1:16" ht="12.75">
      <c r="A419" s="486">
        <v>5113</v>
      </c>
      <c r="B419" s="487" t="s">
        <v>507</v>
      </c>
      <c r="C419" s="487">
        <v>573554.34</v>
      </c>
      <c r="D419" s="487"/>
      <c r="E419" s="487"/>
      <c r="F419" s="487">
        <v>573554.34</v>
      </c>
      <c r="G419" s="487"/>
      <c r="H419" s="487"/>
      <c r="I419" s="487">
        <v>0</v>
      </c>
      <c r="J419" s="487"/>
      <c r="K419" s="487"/>
      <c r="L419" s="487">
        <v>14618350</v>
      </c>
      <c r="M419" s="487">
        <v>3.9235231062329197</v>
      </c>
      <c r="N419" s="487">
        <f>C419*100/11061181.55</f>
        <v>5.185289992821788</v>
      </c>
      <c r="O419" s="483">
        <f t="shared" si="24"/>
        <v>764739.12</v>
      </c>
      <c r="P419" s="511">
        <f>5978350+7480000</f>
        <v>13458350</v>
      </c>
    </row>
    <row r="420" spans="1:16" ht="12.75">
      <c r="A420" s="485">
        <v>512111</v>
      </c>
      <c r="B420" s="483" t="s">
        <v>124</v>
      </c>
      <c r="C420" s="483">
        <v>4366890</v>
      </c>
      <c r="D420" s="483"/>
      <c r="E420" s="483"/>
      <c r="F420" s="483">
        <v>1546890</v>
      </c>
      <c r="G420" s="483"/>
      <c r="H420" s="483"/>
      <c r="I420" s="483"/>
      <c r="J420" s="483">
        <v>2820000</v>
      </c>
      <c r="K420" s="483"/>
      <c r="L420" s="483">
        <v>3876350</v>
      </c>
      <c r="M420" s="483">
        <v>112.65468804416525</v>
      </c>
      <c r="N420" s="483">
        <f aca="true" t="shared" si="25" ref="N420:N437">C420*100/11061181.55</f>
        <v>39.479417097172586</v>
      </c>
      <c r="O420" s="483">
        <f t="shared" si="24"/>
        <v>5822520</v>
      </c>
      <c r="P420" s="483"/>
    </row>
    <row r="421" spans="1:16" ht="12.75">
      <c r="A421" s="486">
        <v>5121</v>
      </c>
      <c r="B421" s="487" t="s">
        <v>125</v>
      </c>
      <c r="C421" s="487">
        <v>4366890</v>
      </c>
      <c r="D421" s="487"/>
      <c r="E421" s="487"/>
      <c r="F421" s="487">
        <v>1546890</v>
      </c>
      <c r="G421" s="487"/>
      <c r="H421" s="487"/>
      <c r="I421" s="487"/>
      <c r="J421" s="487">
        <v>2820000</v>
      </c>
      <c r="K421" s="487"/>
      <c r="L421" s="487">
        <v>6875000</v>
      </c>
      <c r="M421" s="487">
        <v>63.5184</v>
      </c>
      <c r="N421" s="487">
        <f t="shared" si="25"/>
        <v>39.479417097172586</v>
      </c>
      <c r="O421" s="483">
        <f t="shared" si="24"/>
        <v>5822520</v>
      </c>
      <c r="P421" s="511">
        <v>6875000</v>
      </c>
    </row>
    <row r="422" spans="1:16" ht="12.75">
      <c r="A422" s="485">
        <v>512211</v>
      </c>
      <c r="B422" s="483" t="s">
        <v>120</v>
      </c>
      <c r="C422" s="483">
        <v>3491462.44</v>
      </c>
      <c r="D422" s="483"/>
      <c r="E422" s="483"/>
      <c r="F422" s="483">
        <v>3491462.44</v>
      </c>
      <c r="G422" s="483"/>
      <c r="H422" s="483"/>
      <c r="I422" s="483"/>
      <c r="J422" s="483"/>
      <c r="K422" s="483"/>
      <c r="L422" s="483">
        <v>7400000</v>
      </c>
      <c r="M422" s="483">
        <v>47.18192486486487</v>
      </c>
      <c r="N422" s="483">
        <f t="shared" si="25"/>
        <v>31.56500437333478</v>
      </c>
      <c r="O422" s="483">
        <f t="shared" si="24"/>
        <v>4655283.253333333</v>
      </c>
      <c r="P422" s="483"/>
    </row>
    <row r="423" spans="1:16" ht="12.75">
      <c r="A423" s="490" t="s">
        <v>508</v>
      </c>
      <c r="B423" s="492" t="s">
        <v>120</v>
      </c>
      <c r="C423" s="492">
        <v>3491462.44</v>
      </c>
      <c r="D423" s="492"/>
      <c r="E423" s="492"/>
      <c r="F423" s="492">
        <v>3491462.44</v>
      </c>
      <c r="G423" s="492"/>
      <c r="H423" s="492"/>
      <c r="I423" s="492"/>
      <c r="J423" s="492"/>
      <c r="K423" s="492"/>
      <c r="L423" s="492">
        <v>7400000</v>
      </c>
      <c r="M423" s="492">
        <v>47.18192486486487</v>
      </c>
      <c r="N423" s="492">
        <f t="shared" si="25"/>
        <v>31.56500437333478</v>
      </c>
      <c r="O423" s="483">
        <f t="shared" si="24"/>
        <v>4655283.253333333</v>
      </c>
      <c r="P423" s="506">
        <v>3500000</v>
      </c>
    </row>
    <row r="424" spans="1:16" ht="12.75">
      <c r="A424" s="485">
        <v>512212</v>
      </c>
      <c r="B424" s="483" t="s">
        <v>494</v>
      </c>
      <c r="C424" s="483">
        <v>354885</v>
      </c>
      <c r="D424" s="483"/>
      <c r="E424" s="483"/>
      <c r="F424" s="483">
        <v>30990</v>
      </c>
      <c r="G424" s="483"/>
      <c r="H424" s="483"/>
      <c r="I424" s="483"/>
      <c r="J424" s="483"/>
      <c r="K424" s="483">
        <v>323895</v>
      </c>
      <c r="L424" s="483"/>
      <c r="M424" s="483"/>
      <c r="N424" s="483">
        <f t="shared" si="25"/>
        <v>3.208382381175183</v>
      </c>
      <c r="O424" s="483">
        <f t="shared" si="24"/>
        <v>473180</v>
      </c>
      <c r="P424" s="483"/>
    </row>
    <row r="425" spans="1:16" ht="12.75">
      <c r="A425" s="485">
        <v>512221</v>
      </c>
      <c r="B425" s="483" t="s">
        <v>56</v>
      </c>
      <c r="C425" s="483">
        <v>415112.61</v>
      </c>
      <c r="D425" s="483"/>
      <c r="E425" s="483"/>
      <c r="F425" s="483">
        <v>130378.2</v>
      </c>
      <c r="G425" s="483"/>
      <c r="H425" s="483"/>
      <c r="I425" s="483">
        <v>284734.41</v>
      </c>
      <c r="J425" s="483"/>
      <c r="K425" s="483"/>
      <c r="L425" s="483"/>
      <c r="M425" s="483"/>
      <c r="N425" s="483">
        <f t="shared" si="25"/>
        <v>3.7528776480483677</v>
      </c>
      <c r="O425" s="483">
        <f t="shared" si="24"/>
        <v>553483.48</v>
      </c>
      <c r="P425" s="483"/>
    </row>
    <row r="426" spans="1:16" ht="12.75">
      <c r="A426" s="485">
        <v>512232</v>
      </c>
      <c r="B426" s="483" t="s">
        <v>509</v>
      </c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>
        <f t="shared" si="25"/>
        <v>0</v>
      </c>
      <c r="O426" s="483">
        <f t="shared" si="24"/>
        <v>0</v>
      </c>
      <c r="P426" s="483"/>
    </row>
    <row r="427" spans="1:16" ht="12.75">
      <c r="A427" s="485">
        <v>512241</v>
      </c>
      <c r="B427" s="483" t="s">
        <v>510</v>
      </c>
      <c r="C427" s="483">
        <v>426735.2</v>
      </c>
      <c r="D427" s="483"/>
      <c r="E427" s="483"/>
      <c r="F427" s="483">
        <v>426735.2</v>
      </c>
      <c r="G427" s="483"/>
      <c r="H427" s="483"/>
      <c r="I427" s="483"/>
      <c r="J427" s="483"/>
      <c r="K427" s="483"/>
      <c r="L427" s="483"/>
      <c r="M427" s="483"/>
      <c r="N427" s="483">
        <f t="shared" si="25"/>
        <v>3.857953131598314</v>
      </c>
      <c r="O427" s="483">
        <f t="shared" si="24"/>
        <v>568980.2666666667</v>
      </c>
      <c r="P427" s="483"/>
    </row>
    <row r="428" spans="1:16" ht="12.75">
      <c r="A428" s="485">
        <v>512251</v>
      </c>
      <c r="B428" s="483" t="s">
        <v>122</v>
      </c>
      <c r="C428" s="483">
        <v>60560</v>
      </c>
      <c r="D428" s="483"/>
      <c r="E428" s="483"/>
      <c r="F428" s="483">
        <v>60560</v>
      </c>
      <c r="G428" s="483"/>
      <c r="H428" s="483"/>
      <c r="I428" s="483"/>
      <c r="J428" s="483"/>
      <c r="K428" s="483"/>
      <c r="L428" s="483"/>
      <c r="M428" s="483"/>
      <c r="N428" s="483">
        <f t="shared" si="25"/>
        <v>0.5475002803836991</v>
      </c>
      <c r="O428" s="483">
        <f t="shared" si="24"/>
        <v>80746.66666666667</v>
      </c>
      <c r="P428" s="483"/>
    </row>
    <row r="429" spans="1:16" ht="12.75">
      <c r="A429" s="490" t="s">
        <v>511</v>
      </c>
      <c r="B429" s="492" t="s">
        <v>123</v>
      </c>
      <c r="C429" s="492">
        <f>SUM(C424:C428)</f>
        <v>1257292.81</v>
      </c>
      <c r="D429" s="492"/>
      <c r="E429" s="492"/>
      <c r="F429" s="492">
        <f>SUM(F424:F428)</f>
        <v>648663.4</v>
      </c>
      <c r="G429" s="492"/>
      <c r="H429" s="492"/>
      <c r="I429" s="492">
        <f>SUM(I424:I428)</f>
        <v>284734.41</v>
      </c>
      <c r="J429" s="492"/>
      <c r="K429" s="492">
        <f>SUM(K424:K428)</f>
        <v>323895</v>
      </c>
      <c r="L429" s="492">
        <v>3170000</v>
      </c>
      <c r="M429" s="492"/>
      <c r="N429" s="492">
        <f t="shared" si="25"/>
        <v>11.366713441205563</v>
      </c>
      <c r="O429" s="483">
        <f t="shared" si="24"/>
        <v>1676390.4133333333</v>
      </c>
      <c r="P429" s="506">
        <v>2270000</v>
      </c>
    </row>
    <row r="430" spans="1:16" ht="12.75">
      <c r="A430" s="485">
        <v>5131</v>
      </c>
      <c r="B430" s="483" t="s">
        <v>512</v>
      </c>
      <c r="C430" s="483">
        <v>31680</v>
      </c>
      <c r="D430" s="483"/>
      <c r="E430" s="483"/>
      <c r="F430" s="483">
        <v>31680</v>
      </c>
      <c r="G430" s="483"/>
      <c r="H430" s="483"/>
      <c r="I430" s="483"/>
      <c r="J430" s="483"/>
      <c r="K430" s="483"/>
      <c r="L430" s="483"/>
      <c r="M430" s="483">
        <v>40.66160283911672</v>
      </c>
      <c r="N430" s="483">
        <f t="shared" si="25"/>
        <v>0.28640701589424683</v>
      </c>
      <c r="O430" s="483">
        <f t="shared" si="24"/>
        <v>42240</v>
      </c>
      <c r="P430" s="483"/>
    </row>
    <row r="431" spans="1:16" ht="12.75">
      <c r="A431" s="486" t="s">
        <v>513</v>
      </c>
      <c r="B431" s="487" t="s">
        <v>514</v>
      </c>
      <c r="C431" s="487">
        <v>4780435.25</v>
      </c>
      <c r="D431" s="487"/>
      <c r="E431" s="487"/>
      <c r="F431" s="487">
        <v>4171805.84</v>
      </c>
      <c r="G431" s="487"/>
      <c r="H431" s="487"/>
      <c r="I431" s="487">
        <v>284734.41</v>
      </c>
      <c r="J431" s="487"/>
      <c r="K431" s="487">
        <v>323895</v>
      </c>
      <c r="L431" s="487">
        <v>10570000</v>
      </c>
      <c r="M431" s="487">
        <v>45.22644512771996</v>
      </c>
      <c r="N431" s="487">
        <f t="shared" si="25"/>
        <v>43.21812483043459</v>
      </c>
      <c r="O431" s="483">
        <f t="shared" si="24"/>
        <v>6373913.666666667</v>
      </c>
      <c r="P431" s="511">
        <f>P423+P429</f>
        <v>5770000</v>
      </c>
    </row>
    <row r="432" spans="1:16" ht="12.75">
      <c r="A432" s="485">
        <v>512511</v>
      </c>
      <c r="B432" s="483" t="s">
        <v>126</v>
      </c>
      <c r="C432" s="483">
        <v>1045301.96</v>
      </c>
      <c r="D432" s="483"/>
      <c r="E432" s="483"/>
      <c r="F432" s="483">
        <v>843260</v>
      </c>
      <c r="G432" s="483"/>
      <c r="H432" s="483"/>
      <c r="I432" s="483"/>
      <c r="J432" s="483"/>
      <c r="K432" s="483">
        <v>202041.96</v>
      </c>
      <c r="L432" s="483"/>
      <c r="M432" s="483"/>
      <c r="N432" s="483">
        <f t="shared" si="25"/>
        <v>9.45018355656589</v>
      </c>
      <c r="O432" s="483">
        <f t="shared" si="24"/>
        <v>1393735.9466666665</v>
      </c>
      <c r="P432" s="483"/>
    </row>
    <row r="433" spans="1:16" ht="12.75">
      <c r="A433" s="485">
        <v>512521</v>
      </c>
      <c r="B433" s="483" t="s">
        <v>127</v>
      </c>
      <c r="C433" s="483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>
        <f t="shared" si="25"/>
        <v>0</v>
      </c>
      <c r="O433" s="483">
        <f t="shared" si="24"/>
        <v>0</v>
      </c>
      <c r="P433" s="483"/>
    </row>
    <row r="434" spans="1:16" ht="12.75">
      <c r="A434" s="486">
        <v>5125</v>
      </c>
      <c r="B434" s="487" t="s">
        <v>128</v>
      </c>
      <c r="C434" s="487">
        <v>1045301.96</v>
      </c>
      <c r="D434" s="487"/>
      <c r="E434" s="487"/>
      <c r="F434" s="487">
        <v>843260</v>
      </c>
      <c r="G434" s="487"/>
      <c r="H434" s="487"/>
      <c r="I434" s="487"/>
      <c r="J434" s="487"/>
      <c r="K434" s="487">
        <v>202041.96</v>
      </c>
      <c r="L434" s="487">
        <v>8170000</v>
      </c>
      <c r="M434" s="487">
        <v>12.794393635250918</v>
      </c>
      <c r="N434" s="487">
        <f t="shared" si="25"/>
        <v>9.45018355656589</v>
      </c>
      <c r="O434" s="483">
        <f t="shared" si="24"/>
        <v>1393735.9466666665</v>
      </c>
      <c r="P434" s="511">
        <f>350000+1700000+1850000</f>
        <v>3900000</v>
      </c>
    </row>
    <row r="435" spans="1:16" ht="12.75">
      <c r="A435" s="485">
        <v>515111</v>
      </c>
      <c r="B435" s="483" t="s">
        <v>515</v>
      </c>
      <c r="C435" s="483">
        <v>295000</v>
      </c>
      <c r="D435" s="483"/>
      <c r="E435" s="483"/>
      <c r="F435" s="483"/>
      <c r="G435" s="483"/>
      <c r="H435" s="483"/>
      <c r="I435" s="483">
        <v>295000</v>
      </c>
      <c r="J435" s="483"/>
      <c r="K435" s="483"/>
      <c r="L435" s="483"/>
      <c r="M435" s="483"/>
      <c r="N435" s="483">
        <f t="shared" si="25"/>
        <v>2.6669845230051394</v>
      </c>
      <c r="O435" s="483">
        <f t="shared" si="24"/>
        <v>393333.3333333333</v>
      </c>
      <c r="P435" s="483"/>
    </row>
    <row r="436" spans="1:16" ht="12.75">
      <c r="A436" s="486">
        <v>5151</v>
      </c>
      <c r="B436" s="487" t="s">
        <v>516</v>
      </c>
      <c r="C436" s="487">
        <v>295000</v>
      </c>
      <c r="D436" s="487"/>
      <c r="E436" s="487"/>
      <c r="F436" s="487"/>
      <c r="G436" s="487"/>
      <c r="H436" s="487"/>
      <c r="I436" s="487">
        <v>295000</v>
      </c>
      <c r="J436" s="487"/>
      <c r="K436" s="487"/>
      <c r="L436" s="487"/>
      <c r="M436" s="487"/>
      <c r="N436" s="487">
        <f t="shared" si="25"/>
        <v>2.6669845230051394</v>
      </c>
      <c r="O436" s="483">
        <f t="shared" si="24"/>
        <v>393333.3333333333</v>
      </c>
      <c r="P436" s="511">
        <v>295000</v>
      </c>
    </row>
    <row r="437" spans="1:16" ht="12.75">
      <c r="A437" s="485"/>
      <c r="B437" s="483" t="s">
        <v>517</v>
      </c>
      <c r="C437" s="483">
        <v>11061181.55</v>
      </c>
      <c r="D437" s="483">
        <v>0</v>
      </c>
      <c r="E437" s="483">
        <v>0</v>
      </c>
      <c r="F437" s="483">
        <v>7135510.18</v>
      </c>
      <c r="G437" s="483">
        <v>0</v>
      </c>
      <c r="H437" s="483">
        <v>0</v>
      </c>
      <c r="I437" s="483">
        <v>579734.4099999999</v>
      </c>
      <c r="J437" s="483">
        <v>2820000</v>
      </c>
      <c r="K437" s="483">
        <v>525936.96</v>
      </c>
      <c r="L437" s="483">
        <v>40233350</v>
      </c>
      <c r="M437" s="483">
        <v>27.4925691000128</v>
      </c>
      <c r="N437" s="483">
        <f t="shared" si="25"/>
        <v>100</v>
      </c>
      <c r="O437" s="483">
        <f t="shared" si="24"/>
        <v>14748242.066666668</v>
      </c>
      <c r="P437" s="511">
        <f>P419+P421+P431+P434+P436</f>
        <v>30298350</v>
      </c>
    </row>
    <row r="438" spans="1:16" ht="12.75">
      <c r="A438" s="499"/>
      <c r="B438" s="481"/>
      <c r="C438" s="481"/>
      <c r="D438" s="481"/>
      <c r="E438" s="481"/>
      <c r="F438" s="481"/>
      <c r="G438" s="481"/>
      <c r="H438" s="481"/>
      <c r="I438" s="481"/>
      <c r="J438" s="481"/>
      <c r="K438" s="481"/>
      <c r="L438" s="481"/>
      <c r="M438" s="481"/>
      <c r="N438" s="481"/>
      <c r="O438" s="483">
        <f t="shared" si="24"/>
        <v>0</v>
      </c>
      <c r="P438" s="483"/>
    </row>
    <row r="439" spans="1:16" ht="12.75">
      <c r="A439" s="499"/>
      <c r="B439" s="483" t="s">
        <v>518</v>
      </c>
      <c r="C439" s="483">
        <v>438763374.58</v>
      </c>
      <c r="D439" s="483">
        <v>391064325.34999996</v>
      </c>
      <c r="E439" s="483">
        <v>2626297.7</v>
      </c>
      <c r="F439" s="483">
        <v>33618819.67999999</v>
      </c>
      <c r="G439" s="483">
        <v>2366740.3400000003</v>
      </c>
      <c r="H439" s="483">
        <v>5031117.63</v>
      </c>
      <c r="I439" s="483">
        <v>579734.4099999999</v>
      </c>
      <c r="J439" s="483">
        <v>2950402.51</v>
      </c>
      <c r="K439" s="483">
        <v>525936.96</v>
      </c>
      <c r="L439" s="483">
        <v>634993350</v>
      </c>
      <c r="M439" s="483">
        <v>69.09731803962987</v>
      </c>
      <c r="N439" s="481"/>
      <c r="O439" s="483">
        <f t="shared" si="24"/>
        <v>585017832.7733333</v>
      </c>
      <c r="P439" s="512">
        <f>P437+P412</f>
        <v>632346150</v>
      </c>
    </row>
    <row r="440" spans="1:16" ht="12.75">
      <c r="A440" s="499"/>
      <c r="B440" s="481"/>
      <c r="C440" s="481"/>
      <c r="D440" s="481"/>
      <c r="E440" s="481"/>
      <c r="F440" s="481"/>
      <c r="G440" s="481"/>
      <c r="H440" s="481"/>
      <c r="I440" s="481"/>
      <c r="J440" s="481"/>
      <c r="K440" s="481"/>
      <c r="L440" s="481"/>
      <c r="M440" s="481"/>
      <c r="N440" s="481"/>
      <c r="O440" s="483">
        <f t="shared" si="24"/>
        <v>0</v>
      </c>
      <c r="P440" s="483"/>
    </row>
    <row r="441" spans="1:16" ht="12.75">
      <c r="A441" s="499"/>
      <c r="B441" s="483" t="s">
        <v>519</v>
      </c>
      <c r="C441" s="483">
        <v>5333552.629999995</v>
      </c>
      <c r="D441" s="483">
        <v>-826246.2099999785</v>
      </c>
      <c r="E441" s="483">
        <v>2026684.2999999998</v>
      </c>
      <c r="F441" s="483">
        <v>3642253.330000013</v>
      </c>
      <c r="G441" s="483">
        <v>-637504.9000000004</v>
      </c>
      <c r="H441" s="483">
        <v>742237.4800000004</v>
      </c>
      <c r="I441" s="483">
        <v>-579734.4099999999</v>
      </c>
      <c r="J441" s="483">
        <v>-820000</v>
      </c>
      <c r="K441" s="483">
        <v>1785863.04</v>
      </c>
      <c r="L441" s="483">
        <v>0</v>
      </c>
      <c r="M441" s="481"/>
      <c r="N441" s="481"/>
      <c r="O441" s="483">
        <f t="shared" si="24"/>
        <v>7111403.50666666</v>
      </c>
      <c r="P441" s="483"/>
    </row>
    <row r="442" spans="1:16" ht="12.75">
      <c r="A442" s="481"/>
      <c r="B442" s="481"/>
      <c r="C442" s="481"/>
      <c r="D442" s="482" t="s">
        <v>455</v>
      </c>
      <c r="E442" s="482"/>
      <c r="F442" s="482"/>
      <c r="G442" s="482"/>
      <c r="H442" s="481"/>
      <c r="I442" s="481"/>
      <c r="J442" s="481"/>
      <c r="K442" s="481"/>
      <c r="L442" s="481"/>
      <c r="M442" s="481"/>
      <c r="N442" s="481"/>
      <c r="O442" s="483"/>
      <c r="P442" s="483"/>
    </row>
    <row r="443" spans="1:16" ht="12.75">
      <c r="A443" s="482" t="s">
        <v>520</v>
      </c>
      <c r="B443" s="481"/>
      <c r="C443" s="481"/>
      <c r="D443" s="481"/>
      <c r="E443" s="481"/>
      <c r="F443" s="481"/>
      <c r="G443" s="481"/>
      <c r="H443" s="481"/>
      <c r="I443" s="481"/>
      <c r="J443" s="481"/>
      <c r="K443" s="481"/>
      <c r="L443" s="481"/>
      <c r="M443" s="481"/>
      <c r="N443" s="481"/>
      <c r="O443" s="483"/>
      <c r="P443" s="483"/>
    </row>
    <row r="444" spans="1:16" ht="29.25">
      <c r="A444" s="483" t="s">
        <v>0</v>
      </c>
      <c r="B444" s="483" t="s">
        <v>1</v>
      </c>
      <c r="C444" s="483" t="s">
        <v>2</v>
      </c>
      <c r="D444" s="483" t="s">
        <v>403</v>
      </c>
      <c r="E444" s="483" t="s">
        <v>4</v>
      </c>
      <c r="F444" s="484" t="s">
        <v>457</v>
      </c>
      <c r="G444" s="483" t="s">
        <v>6</v>
      </c>
      <c r="H444" s="484" t="s">
        <v>458</v>
      </c>
      <c r="I444" s="483" t="s">
        <v>191</v>
      </c>
      <c r="J444" s="483" t="s">
        <v>459</v>
      </c>
      <c r="K444" s="484" t="s">
        <v>460</v>
      </c>
      <c r="L444" s="483" t="s">
        <v>201</v>
      </c>
      <c r="M444" s="484" t="s">
        <v>461</v>
      </c>
      <c r="N444" s="484" t="s">
        <v>208</v>
      </c>
      <c r="O444" s="483" t="e">
        <f>C444/3*4</f>
        <v>#VALUE!</v>
      </c>
      <c r="P444" s="483"/>
    </row>
    <row r="445" spans="1:16" ht="12.75">
      <c r="A445" s="485">
        <v>733161</v>
      </c>
      <c r="B445" s="483" t="s">
        <v>521</v>
      </c>
      <c r="C445" s="483">
        <v>2130402.51</v>
      </c>
      <c r="D445" s="483"/>
      <c r="E445" s="483"/>
      <c r="F445" s="483"/>
      <c r="G445" s="483"/>
      <c r="H445" s="483"/>
      <c r="I445" s="483"/>
      <c r="J445" s="483">
        <v>2130402.51</v>
      </c>
      <c r="K445" s="483"/>
      <c r="L445" s="483">
        <v>13978350</v>
      </c>
      <c r="M445" s="483">
        <v>15.240729485239672</v>
      </c>
      <c r="N445" s="483">
        <f>C445*100/444096249.24</f>
        <v>0.47971639338225536</v>
      </c>
      <c r="O445" s="483">
        <f>C445/3*4</f>
        <v>2840536.6799999997</v>
      </c>
      <c r="P445" s="483"/>
    </row>
    <row r="446" spans="1:16" ht="12.75">
      <c r="A446" s="486">
        <v>7331</v>
      </c>
      <c r="B446" s="487" t="s">
        <v>522</v>
      </c>
      <c r="C446" s="487">
        <v>2130402.51</v>
      </c>
      <c r="D446" s="487"/>
      <c r="E446" s="487"/>
      <c r="F446" s="487"/>
      <c r="G446" s="487"/>
      <c r="H446" s="487"/>
      <c r="I446" s="487"/>
      <c r="J446" s="487">
        <v>2130402.51</v>
      </c>
      <c r="K446" s="487"/>
      <c r="L446" s="487">
        <v>13978350</v>
      </c>
      <c r="M446" s="487">
        <v>15.240729485239672</v>
      </c>
      <c r="N446" s="487">
        <f aca="true" t="shared" si="26" ref="N446:N475">C446*100/444096249.24</f>
        <v>0.47971639338225536</v>
      </c>
      <c r="O446" s="483"/>
      <c r="P446" s="507">
        <v>13978350</v>
      </c>
    </row>
    <row r="447" spans="1:16" ht="19.5">
      <c r="A447" s="485">
        <v>741411</v>
      </c>
      <c r="B447" s="484" t="s">
        <v>523</v>
      </c>
      <c r="C447" s="483">
        <v>630228</v>
      </c>
      <c r="D447" s="483"/>
      <c r="E447" s="483"/>
      <c r="F447" s="483">
        <v>630228</v>
      </c>
      <c r="G447" s="483"/>
      <c r="H447" s="483"/>
      <c r="I447" s="483"/>
      <c r="J447" s="483"/>
      <c r="K447" s="483"/>
      <c r="L447" s="483">
        <v>700000</v>
      </c>
      <c r="M447" s="483">
        <v>90.03257142857143</v>
      </c>
      <c r="N447" s="483">
        <f t="shared" si="26"/>
        <v>0.14191247980106447</v>
      </c>
      <c r="O447" s="483">
        <f aca="true" t="shared" si="27" ref="O447:O476">C447/3*4</f>
        <v>840304</v>
      </c>
      <c r="P447" s="483"/>
    </row>
    <row r="448" spans="1:16" ht="12.75">
      <c r="A448" s="486">
        <v>7414</v>
      </c>
      <c r="B448" s="487" t="s">
        <v>524</v>
      </c>
      <c r="C448" s="487">
        <v>630228</v>
      </c>
      <c r="D448" s="487"/>
      <c r="E448" s="487"/>
      <c r="F448" s="487">
        <v>630228</v>
      </c>
      <c r="G448" s="487"/>
      <c r="H448" s="487"/>
      <c r="I448" s="487"/>
      <c r="J448" s="487"/>
      <c r="K448" s="487"/>
      <c r="L448" s="487">
        <v>700000</v>
      </c>
      <c r="M448" s="487">
        <v>90.03257142857143</v>
      </c>
      <c r="N448" s="487">
        <f t="shared" si="26"/>
        <v>0.14191247980106447</v>
      </c>
      <c r="O448" s="483">
        <f t="shared" si="27"/>
        <v>840304</v>
      </c>
      <c r="P448" s="507">
        <v>700000</v>
      </c>
    </row>
    <row r="449" spans="1:16" ht="12.75">
      <c r="A449" s="501">
        <v>74212101</v>
      </c>
      <c r="B449" s="483" t="s">
        <v>140</v>
      </c>
      <c r="C449" s="483">
        <v>1170409</v>
      </c>
      <c r="D449" s="483"/>
      <c r="E449" s="483"/>
      <c r="F449" s="483">
        <v>1170409</v>
      </c>
      <c r="G449" s="483"/>
      <c r="H449" s="483"/>
      <c r="I449" s="483"/>
      <c r="J449" s="483"/>
      <c r="K449" s="483"/>
      <c r="L449" s="483">
        <v>1760000</v>
      </c>
      <c r="M449" s="483">
        <v>66.50051136363636</v>
      </c>
      <c r="N449" s="483">
        <f t="shared" si="26"/>
        <v>0.26354849922803186</v>
      </c>
      <c r="O449" s="483">
        <f t="shared" si="27"/>
        <v>1560545.3333333333</v>
      </c>
      <c r="P449" s="483">
        <v>1760000</v>
      </c>
    </row>
    <row r="450" spans="1:16" ht="12.75">
      <c r="A450" s="501">
        <v>74212102</v>
      </c>
      <c r="B450" s="483" t="s">
        <v>142</v>
      </c>
      <c r="C450" s="483">
        <v>11800199.48</v>
      </c>
      <c r="D450" s="483"/>
      <c r="E450" s="483"/>
      <c r="F450" s="483">
        <v>11800199.48</v>
      </c>
      <c r="G450" s="483"/>
      <c r="H450" s="483"/>
      <c r="I450" s="483"/>
      <c r="J450" s="483"/>
      <c r="K450" s="483"/>
      <c r="L450" s="483">
        <v>14400000</v>
      </c>
      <c r="M450" s="483">
        <v>81.94582972222223</v>
      </c>
      <c r="N450" s="483">
        <f t="shared" si="26"/>
        <v>2.6571265801488217</v>
      </c>
      <c r="O450" s="483">
        <f t="shared" si="27"/>
        <v>15733599.306666667</v>
      </c>
      <c r="P450" s="483">
        <v>14400000</v>
      </c>
    </row>
    <row r="451" spans="1:16" ht="12.75">
      <c r="A451" s="501">
        <v>74212103</v>
      </c>
      <c r="B451" s="483" t="s">
        <v>139</v>
      </c>
      <c r="C451" s="483">
        <v>4159030</v>
      </c>
      <c r="D451" s="483"/>
      <c r="E451" s="483"/>
      <c r="F451" s="483">
        <v>4159030</v>
      </c>
      <c r="G451" s="483"/>
      <c r="H451" s="483"/>
      <c r="I451" s="483"/>
      <c r="J451" s="483"/>
      <c r="K451" s="483"/>
      <c r="L451" s="483">
        <v>9240000</v>
      </c>
      <c r="M451" s="483">
        <v>45.011147186147184</v>
      </c>
      <c r="N451" s="483">
        <f t="shared" si="26"/>
        <v>0.9365154529265936</v>
      </c>
      <c r="O451" s="483">
        <f t="shared" si="27"/>
        <v>5545373.333333333</v>
      </c>
      <c r="P451" s="483">
        <v>7200000</v>
      </c>
    </row>
    <row r="452" spans="1:16" ht="12.75">
      <c r="A452" s="501">
        <v>74212104</v>
      </c>
      <c r="B452" s="483" t="s">
        <v>141</v>
      </c>
      <c r="C452" s="483">
        <v>240680.92</v>
      </c>
      <c r="D452" s="483"/>
      <c r="E452" s="483"/>
      <c r="F452" s="483">
        <v>240680.92</v>
      </c>
      <c r="G452" s="483"/>
      <c r="H452" s="483"/>
      <c r="I452" s="483"/>
      <c r="J452" s="483"/>
      <c r="K452" s="483"/>
      <c r="L452" s="483">
        <v>500000</v>
      </c>
      <c r="M452" s="483">
        <v>48.136184</v>
      </c>
      <c r="N452" s="483">
        <f t="shared" si="26"/>
        <v>0.05419566600976411</v>
      </c>
      <c r="O452" s="483">
        <f t="shared" si="27"/>
        <v>320907.89333333337</v>
      </c>
      <c r="P452" s="483">
        <v>320000</v>
      </c>
    </row>
    <row r="453" spans="1:16" ht="12.75">
      <c r="A453" s="501">
        <v>74212105</v>
      </c>
      <c r="B453" s="483" t="s">
        <v>143</v>
      </c>
      <c r="C453" s="483">
        <v>288950.91</v>
      </c>
      <c r="D453" s="483"/>
      <c r="E453" s="483"/>
      <c r="F453" s="483">
        <v>288950.91</v>
      </c>
      <c r="G453" s="483"/>
      <c r="H453" s="483"/>
      <c r="I453" s="483"/>
      <c r="J453" s="483"/>
      <c r="K453" s="483"/>
      <c r="L453" s="483">
        <v>500000</v>
      </c>
      <c r="M453" s="483">
        <v>57.790181999999994</v>
      </c>
      <c r="N453" s="483">
        <f t="shared" si="26"/>
        <v>0.06506492916670506</v>
      </c>
      <c r="O453" s="483">
        <f t="shared" si="27"/>
        <v>385267.87999999995</v>
      </c>
      <c r="P453" s="483">
        <v>400000</v>
      </c>
    </row>
    <row r="454" spans="1:16" ht="12.75">
      <c r="A454" s="501">
        <v>74212106</v>
      </c>
      <c r="B454" s="483" t="s">
        <v>144</v>
      </c>
      <c r="C454" s="483">
        <v>139690</v>
      </c>
      <c r="D454" s="483"/>
      <c r="E454" s="483"/>
      <c r="F454" s="483">
        <v>139690</v>
      </c>
      <c r="G454" s="483"/>
      <c r="H454" s="483"/>
      <c r="I454" s="483"/>
      <c r="J454" s="483"/>
      <c r="K454" s="483"/>
      <c r="L454" s="483"/>
      <c r="M454" s="483"/>
      <c r="N454" s="483">
        <f t="shared" si="26"/>
        <v>0.03145489299651983</v>
      </c>
      <c r="O454" s="483">
        <f t="shared" si="27"/>
        <v>186253.33333333334</v>
      </c>
      <c r="P454" s="483">
        <v>200000</v>
      </c>
    </row>
    <row r="455" spans="1:16" ht="19.5">
      <c r="A455" s="501">
        <v>74212107</v>
      </c>
      <c r="B455" s="484" t="s">
        <v>525</v>
      </c>
      <c r="C455" s="483">
        <v>16998426.3</v>
      </c>
      <c r="D455" s="483"/>
      <c r="E455" s="483"/>
      <c r="F455" s="483">
        <v>16998426.3</v>
      </c>
      <c r="G455" s="483"/>
      <c r="H455" s="483"/>
      <c r="I455" s="483"/>
      <c r="J455" s="483"/>
      <c r="K455" s="483"/>
      <c r="L455" s="483"/>
      <c r="M455" s="483"/>
      <c r="N455" s="483">
        <f t="shared" si="26"/>
        <v>3.8276446443963668</v>
      </c>
      <c r="O455" s="483">
        <f t="shared" si="27"/>
        <v>22664568.400000002</v>
      </c>
      <c r="P455" s="483"/>
    </row>
    <row r="456" spans="1:16" ht="19.5">
      <c r="A456" s="501">
        <v>74212108</v>
      </c>
      <c r="B456" s="484" t="s">
        <v>526</v>
      </c>
      <c r="C456" s="483">
        <v>462362.88</v>
      </c>
      <c r="D456" s="483"/>
      <c r="E456" s="483"/>
      <c r="F456" s="483">
        <v>462362.88</v>
      </c>
      <c r="G456" s="483"/>
      <c r="H456" s="483"/>
      <c r="I456" s="483"/>
      <c r="J456" s="483"/>
      <c r="K456" s="483"/>
      <c r="L456" s="483">
        <v>34732000</v>
      </c>
      <c r="M456" s="483">
        <v>1.3312302199700565</v>
      </c>
      <c r="N456" s="483">
        <f t="shared" si="26"/>
        <v>0.10411321437442006</v>
      </c>
      <c r="O456" s="483">
        <f t="shared" si="27"/>
        <v>616483.84</v>
      </c>
      <c r="P456" s="483">
        <v>34000000</v>
      </c>
    </row>
    <row r="457" spans="1:16" ht="12.75">
      <c r="A457" s="501">
        <v>74212109</v>
      </c>
      <c r="B457" s="483" t="s">
        <v>527</v>
      </c>
      <c r="C457" s="483">
        <v>1005062</v>
      </c>
      <c r="D457" s="483"/>
      <c r="E457" s="483"/>
      <c r="F457" s="483">
        <v>1005062</v>
      </c>
      <c r="G457" s="483"/>
      <c r="H457" s="483"/>
      <c r="I457" s="483"/>
      <c r="J457" s="483"/>
      <c r="K457" s="483"/>
      <c r="L457" s="483"/>
      <c r="M457" s="483"/>
      <c r="N457" s="483">
        <f t="shared" si="26"/>
        <v>0.22631625502804933</v>
      </c>
      <c r="O457" s="483">
        <f t="shared" si="27"/>
        <v>1340082.6666666667</v>
      </c>
      <c r="P457" s="483"/>
    </row>
    <row r="458" spans="1:16" ht="12.75">
      <c r="A458" s="485">
        <v>7421611</v>
      </c>
      <c r="B458" s="483" t="s">
        <v>528</v>
      </c>
      <c r="C458" s="483">
        <v>1319035.44</v>
      </c>
      <c r="D458" s="483"/>
      <c r="E458" s="483"/>
      <c r="F458" s="483"/>
      <c r="G458" s="483">
        <v>1319035.44</v>
      </c>
      <c r="H458" s="483"/>
      <c r="I458" s="483"/>
      <c r="J458" s="483"/>
      <c r="K458" s="483"/>
      <c r="L458" s="483">
        <v>320000</v>
      </c>
      <c r="M458" s="483">
        <v>412.198575</v>
      </c>
      <c r="N458" s="483">
        <f t="shared" si="26"/>
        <v>0.29701566772007626</v>
      </c>
      <c r="O458" s="483">
        <f t="shared" si="27"/>
        <v>1758713.92</v>
      </c>
      <c r="P458" s="483">
        <v>1800000</v>
      </c>
    </row>
    <row r="459" spans="1:16" ht="12.75">
      <c r="A459" s="485">
        <v>7421612</v>
      </c>
      <c r="B459" s="483" t="s">
        <v>529</v>
      </c>
      <c r="C459" s="483">
        <v>83752.13</v>
      </c>
      <c r="D459" s="483"/>
      <c r="E459" s="483"/>
      <c r="F459" s="483">
        <v>83752.13</v>
      </c>
      <c r="G459" s="483"/>
      <c r="H459" s="483"/>
      <c r="I459" s="483"/>
      <c r="J459" s="483"/>
      <c r="K459" s="483"/>
      <c r="L459" s="483">
        <v>320000</v>
      </c>
      <c r="M459" s="483">
        <v>26.172540625</v>
      </c>
      <c r="N459" s="483">
        <f t="shared" si="26"/>
        <v>0.01885900413329958</v>
      </c>
      <c r="O459" s="483">
        <f t="shared" si="27"/>
        <v>111669.50666666667</v>
      </c>
      <c r="P459" s="483">
        <v>320000</v>
      </c>
    </row>
    <row r="460" spans="1:16" ht="12.75">
      <c r="A460" s="486">
        <v>7421</v>
      </c>
      <c r="B460" s="487" t="s">
        <v>149</v>
      </c>
      <c r="C460" s="487">
        <v>37667599.06</v>
      </c>
      <c r="D460" s="487"/>
      <c r="E460" s="487"/>
      <c r="F460" s="487">
        <v>36348563.620000005</v>
      </c>
      <c r="G460" s="487">
        <v>1319035.44</v>
      </c>
      <c r="H460" s="487"/>
      <c r="I460" s="487"/>
      <c r="J460" s="487"/>
      <c r="K460" s="487"/>
      <c r="L460" s="487">
        <v>61772000</v>
      </c>
      <c r="M460" s="487">
        <v>60.978435310496664</v>
      </c>
      <c r="N460" s="487">
        <f t="shared" si="26"/>
        <v>8.481854806128649</v>
      </c>
      <c r="O460" s="483">
        <f t="shared" si="27"/>
        <v>50223465.413333334</v>
      </c>
      <c r="P460" s="507">
        <f>P449+P450+P451+P452+P453+P454+P456+P458+P459</f>
        <v>60400000</v>
      </c>
    </row>
    <row r="461" spans="1:16" ht="12.75">
      <c r="A461" s="485">
        <v>744161</v>
      </c>
      <c r="B461" s="483" t="s">
        <v>530</v>
      </c>
      <c r="C461" s="483">
        <v>1995000</v>
      </c>
      <c r="D461" s="483"/>
      <c r="E461" s="483"/>
      <c r="F461" s="483"/>
      <c r="G461" s="483"/>
      <c r="H461" s="483"/>
      <c r="I461" s="483"/>
      <c r="J461" s="483"/>
      <c r="K461" s="483">
        <v>1995000</v>
      </c>
      <c r="L461" s="483">
        <v>2000000</v>
      </c>
      <c r="M461" s="483">
        <v>99.75</v>
      </c>
      <c r="N461" s="483">
        <f t="shared" si="26"/>
        <v>0.44922694200055163</v>
      </c>
      <c r="O461" s="483">
        <f t="shared" si="27"/>
        <v>2660000</v>
      </c>
      <c r="P461" s="483"/>
    </row>
    <row r="462" spans="1:16" ht="12.75">
      <c r="A462" s="486">
        <v>7441</v>
      </c>
      <c r="B462" s="487" t="s">
        <v>531</v>
      </c>
      <c r="C462" s="487">
        <v>1995000</v>
      </c>
      <c r="D462" s="487"/>
      <c r="E462" s="487"/>
      <c r="F462" s="487">
        <v>0</v>
      </c>
      <c r="G462" s="487"/>
      <c r="H462" s="487"/>
      <c r="I462" s="487"/>
      <c r="J462" s="487"/>
      <c r="K462" s="487">
        <v>1995000</v>
      </c>
      <c r="L462" s="487">
        <v>2000000</v>
      </c>
      <c r="M462" s="487">
        <v>99.75</v>
      </c>
      <c r="N462" s="487">
        <f t="shared" si="26"/>
        <v>0.44922694200055163</v>
      </c>
      <c r="O462" s="483">
        <f t="shared" si="27"/>
        <v>2660000</v>
      </c>
      <c r="P462" s="507">
        <v>2000000</v>
      </c>
    </row>
    <row r="463" spans="1:16" ht="12.75">
      <c r="A463" s="485">
        <v>74516101</v>
      </c>
      <c r="B463" s="483" t="s">
        <v>150</v>
      </c>
      <c r="C463" s="483">
        <v>18983.04</v>
      </c>
      <c r="D463" s="483"/>
      <c r="E463" s="483"/>
      <c r="F463" s="483">
        <v>18983.04</v>
      </c>
      <c r="G463" s="483"/>
      <c r="H463" s="483"/>
      <c r="I463" s="483"/>
      <c r="J463" s="483"/>
      <c r="K463" s="483"/>
      <c r="L463" s="483"/>
      <c r="M463" s="483"/>
      <c r="N463" s="483">
        <f t="shared" si="26"/>
        <v>0.004274532836628648</v>
      </c>
      <c r="O463" s="483">
        <f t="shared" si="27"/>
        <v>25310.72</v>
      </c>
      <c r="P463" s="483"/>
    </row>
    <row r="464" spans="1:16" ht="12.75">
      <c r="A464" s="485">
        <v>74516103</v>
      </c>
      <c r="B464" s="483" t="s">
        <v>532</v>
      </c>
      <c r="C464" s="483">
        <v>186804.53</v>
      </c>
      <c r="D464" s="483"/>
      <c r="E464" s="483"/>
      <c r="F464" s="483">
        <v>186804.53</v>
      </c>
      <c r="G464" s="483"/>
      <c r="H464" s="483"/>
      <c r="I464" s="483"/>
      <c r="J464" s="483"/>
      <c r="K464" s="483"/>
      <c r="L464" s="483"/>
      <c r="M464" s="483"/>
      <c r="N464" s="483">
        <f t="shared" si="26"/>
        <v>0.042063973816416196</v>
      </c>
      <c r="O464" s="483">
        <f t="shared" si="27"/>
        <v>249072.70666666667</v>
      </c>
      <c r="P464" s="483"/>
    </row>
    <row r="465" spans="1:16" ht="12.75">
      <c r="A465" s="485">
        <v>74516104</v>
      </c>
      <c r="B465" s="483" t="s">
        <v>533</v>
      </c>
      <c r="C465" s="483">
        <v>75815.85</v>
      </c>
      <c r="D465" s="483"/>
      <c r="E465" s="483"/>
      <c r="F465" s="483">
        <v>75815.85</v>
      </c>
      <c r="G465" s="483"/>
      <c r="H465" s="483"/>
      <c r="I465" s="483"/>
      <c r="J465" s="483"/>
      <c r="K465" s="483"/>
      <c r="L465" s="483">
        <v>1200000</v>
      </c>
      <c r="M465" s="483">
        <v>6.317987500000001</v>
      </c>
      <c r="N465" s="483">
        <f t="shared" si="26"/>
        <v>0.017071941078031342</v>
      </c>
      <c r="O465" s="483">
        <f t="shared" si="27"/>
        <v>101087.8</v>
      </c>
      <c r="P465" s="483"/>
    </row>
    <row r="466" spans="1:16" ht="19.5">
      <c r="A466" s="485">
        <v>74516105</v>
      </c>
      <c r="B466" s="484" t="s">
        <v>534</v>
      </c>
      <c r="C466" s="483">
        <v>155500</v>
      </c>
      <c r="D466" s="483"/>
      <c r="E466" s="483"/>
      <c r="F466" s="483"/>
      <c r="G466" s="483">
        <v>155500</v>
      </c>
      <c r="H466" s="483"/>
      <c r="I466" s="483"/>
      <c r="J466" s="483"/>
      <c r="K466" s="483"/>
      <c r="L466" s="483"/>
      <c r="M466" s="483"/>
      <c r="N466" s="483">
        <f t="shared" si="26"/>
        <v>0.035014932070719686</v>
      </c>
      <c r="O466" s="483">
        <f t="shared" si="27"/>
        <v>207333.33333333334</v>
      </c>
      <c r="P466" s="483"/>
    </row>
    <row r="467" spans="1:16" ht="19.5">
      <c r="A467" s="485">
        <v>74516106</v>
      </c>
      <c r="B467" s="484" t="s">
        <v>535</v>
      </c>
      <c r="C467" s="483">
        <v>254700</v>
      </c>
      <c r="D467" s="483"/>
      <c r="E467" s="483"/>
      <c r="F467" s="483"/>
      <c r="G467" s="483">
        <v>254700</v>
      </c>
      <c r="H467" s="483"/>
      <c r="I467" s="483"/>
      <c r="J467" s="483"/>
      <c r="K467" s="483"/>
      <c r="L467" s="483"/>
      <c r="M467" s="483"/>
      <c r="N467" s="483">
        <f t="shared" si="26"/>
        <v>0.05735243214413058</v>
      </c>
      <c r="O467" s="483">
        <f t="shared" si="27"/>
        <v>339600</v>
      </c>
      <c r="P467" s="483"/>
    </row>
    <row r="468" spans="1:16" ht="12.75">
      <c r="A468" s="486">
        <v>7451</v>
      </c>
      <c r="B468" s="487" t="s">
        <v>151</v>
      </c>
      <c r="C468" s="487">
        <v>691803.42</v>
      </c>
      <c r="D468" s="487"/>
      <c r="E468" s="487"/>
      <c r="F468" s="487">
        <v>281603.42000000004</v>
      </c>
      <c r="G468" s="487">
        <v>410200</v>
      </c>
      <c r="H468" s="487"/>
      <c r="I468" s="487"/>
      <c r="J468" s="487"/>
      <c r="K468" s="487"/>
      <c r="L468" s="487">
        <v>1200000</v>
      </c>
      <c r="M468" s="487">
        <v>57.650285</v>
      </c>
      <c r="N468" s="487">
        <f t="shared" si="26"/>
        <v>0.15577781194592644</v>
      </c>
      <c r="O468" s="483">
        <f t="shared" si="27"/>
        <v>922404.56</v>
      </c>
      <c r="P468" s="507">
        <v>1000000</v>
      </c>
    </row>
    <row r="469" spans="1:16" ht="12.75">
      <c r="A469" s="485">
        <v>7711111</v>
      </c>
      <c r="B469" s="483" t="s">
        <v>152</v>
      </c>
      <c r="C469" s="483">
        <v>4853116.57</v>
      </c>
      <c r="D469" s="483"/>
      <c r="E469" s="483"/>
      <c r="F469" s="483"/>
      <c r="G469" s="483"/>
      <c r="H469" s="483">
        <v>4853116.57</v>
      </c>
      <c r="I469" s="483"/>
      <c r="J469" s="483"/>
      <c r="K469" s="483"/>
      <c r="L469" s="483">
        <v>6320000</v>
      </c>
      <c r="M469" s="483">
        <v>76.78981914556962</v>
      </c>
      <c r="N469" s="483">
        <f t="shared" si="26"/>
        <v>1.0928073763976471</v>
      </c>
      <c r="O469" s="483">
        <f t="shared" si="27"/>
        <v>6470822.093333334</v>
      </c>
      <c r="P469" s="483">
        <v>6500000</v>
      </c>
    </row>
    <row r="470" spans="1:16" ht="19.5">
      <c r="A470" s="485">
        <v>7711112</v>
      </c>
      <c r="B470" s="484" t="s">
        <v>536</v>
      </c>
      <c r="C470" s="483">
        <v>741930.6</v>
      </c>
      <c r="D470" s="483">
        <v>741930.6</v>
      </c>
      <c r="E470" s="483"/>
      <c r="F470" s="483"/>
      <c r="G470" s="483"/>
      <c r="H470" s="483"/>
      <c r="I470" s="483"/>
      <c r="J470" s="483"/>
      <c r="K470" s="483"/>
      <c r="L470" s="483">
        <v>930000</v>
      </c>
      <c r="M470" s="483">
        <v>79.77748387096774</v>
      </c>
      <c r="N470" s="483">
        <f t="shared" si="26"/>
        <v>0.16706527048352604</v>
      </c>
      <c r="O470" s="483">
        <f t="shared" si="27"/>
        <v>989240.7999999999</v>
      </c>
      <c r="P470" s="483">
        <v>1000000</v>
      </c>
    </row>
    <row r="471" spans="1:16" ht="12.75">
      <c r="A471" s="485">
        <v>7711113</v>
      </c>
      <c r="B471" s="483" t="s">
        <v>537</v>
      </c>
      <c r="C471" s="483">
        <v>178001.04</v>
      </c>
      <c r="D471" s="483"/>
      <c r="E471" s="483"/>
      <c r="F471" s="483"/>
      <c r="G471" s="483"/>
      <c r="H471" s="483">
        <v>178001.04</v>
      </c>
      <c r="I471" s="483"/>
      <c r="J471" s="483"/>
      <c r="K471" s="483"/>
      <c r="L471" s="483"/>
      <c r="M471" s="483"/>
      <c r="N471" s="483">
        <f t="shared" si="26"/>
        <v>0.04008163552487111</v>
      </c>
      <c r="O471" s="483">
        <f t="shared" si="27"/>
        <v>237334.72</v>
      </c>
      <c r="P471" s="483">
        <v>300000</v>
      </c>
    </row>
    <row r="472" spans="1:16" ht="19.5">
      <c r="A472" s="485">
        <v>7711114</v>
      </c>
      <c r="B472" s="484" t="s">
        <v>538</v>
      </c>
      <c r="C472" s="483">
        <v>140899.43</v>
      </c>
      <c r="D472" s="483"/>
      <c r="E472" s="483"/>
      <c r="F472" s="483"/>
      <c r="G472" s="483"/>
      <c r="H472" s="483">
        <v>140899.43</v>
      </c>
      <c r="I472" s="483"/>
      <c r="J472" s="483"/>
      <c r="K472" s="483"/>
      <c r="L472" s="483"/>
      <c r="M472" s="483"/>
      <c r="N472" s="483">
        <f t="shared" si="26"/>
        <v>0.03172722810452169</v>
      </c>
      <c r="O472" s="483">
        <f t="shared" si="27"/>
        <v>187865.90666666665</v>
      </c>
      <c r="P472" s="483">
        <v>200000</v>
      </c>
    </row>
    <row r="473" spans="1:16" ht="12.75">
      <c r="A473" s="486">
        <v>7711</v>
      </c>
      <c r="B473" s="487" t="s">
        <v>154</v>
      </c>
      <c r="C473" s="487">
        <v>5913947.64</v>
      </c>
      <c r="D473" s="487">
        <v>741930.6</v>
      </c>
      <c r="E473" s="487"/>
      <c r="F473" s="487"/>
      <c r="G473" s="487"/>
      <c r="H473" s="487">
        <v>5172017.04</v>
      </c>
      <c r="I473" s="487"/>
      <c r="J473" s="487"/>
      <c r="K473" s="487"/>
      <c r="L473" s="487">
        <v>7250000</v>
      </c>
      <c r="M473" s="487">
        <v>81.5716915862069</v>
      </c>
      <c r="N473" s="487">
        <f t="shared" si="26"/>
        <v>1.331681510510566</v>
      </c>
      <c r="O473" s="483">
        <f t="shared" si="27"/>
        <v>7885263.52</v>
      </c>
      <c r="P473" s="507">
        <f>SUM(P469:P472)</f>
        <v>8000000</v>
      </c>
    </row>
    <row r="474" spans="1:16" ht="12.75">
      <c r="A474" s="485">
        <v>7721111</v>
      </c>
      <c r="B474" s="483" t="s">
        <v>539</v>
      </c>
      <c r="C474" s="483">
        <v>601338.07</v>
      </c>
      <c r="D474" s="483"/>
      <c r="E474" s="483"/>
      <c r="F474" s="483"/>
      <c r="G474" s="483"/>
      <c r="H474" s="483">
        <v>601338.07</v>
      </c>
      <c r="I474" s="483"/>
      <c r="J474" s="483"/>
      <c r="K474" s="483"/>
      <c r="L474" s="483"/>
      <c r="M474" s="483"/>
      <c r="N474" s="483">
        <f t="shared" si="26"/>
        <v>0.13540714901985645</v>
      </c>
      <c r="O474" s="483">
        <f t="shared" si="27"/>
        <v>801784.0933333333</v>
      </c>
      <c r="P474" s="483"/>
    </row>
    <row r="475" spans="1:16" ht="12.75">
      <c r="A475" s="486">
        <v>7721</v>
      </c>
      <c r="B475" s="487" t="s">
        <v>539</v>
      </c>
      <c r="C475" s="487">
        <v>601338.07</v>
      </c>
      <c r="D475" s="487"/>
      <c r="E475" s="487"/>
      <c r="F475" s="487"/>
      <c r="G475" s="487">
        <v>0</v>
      </c>
      <c r="H475" s="487">
        <v>601338.07</v>
      </c>
      <c r="I475" s="487"/>
      <c r="J475" s="487"/>
      <c r="K475" s="487">
        <v>0</v>
      </c>
      <c r="L475" s="487"/>
      <c r="M475" s="487"/>
      <c r="N475" s="487">
        <f t="shared" si="26"/>
        <v>0.13540714901985645</v>
      </c>
      <c r="O475" s="483">
        <f t="shared" si="27"/>
        <v>801784.0933333333</v>
      </c>
      <c r="P475" s="507">
        <v>602000</v>
      </c>
    </row>
    <row r="476" spans="1:16" ht="29.25">
      <c r="A476" s="483" t="s">
        <v>0</v>
      </c>
      <c r="B476" s="483" t="s">
        <v>1</v>
      </c>
      <c r="C476" s="483" t="s">
        <v>2</v>
      </c>
      <c r="D476" s="483" t="s">
        <v>403</v>
      </c>
      <c r="E476" s="483" t="s">
        <v>4</v>
      </c>
      <c r="F476" s="484" t="s">
        <v>457</v>
      </c>
      <c r="G476" s="483" t="s">
        <v>6</v>
      </c>
      <c r="H476" s="484" t="s">
        <v>458</v>
      </c>
      <c r="I476" s="483" t="s">
        <v>191</v>
      </c>
      <c r="J476" s="483" t="s">
        <v>459</v>
      </c>
      <c r="K476" s="484" t="s">
        <v>460</v>
      </c>
      <c r="L476" s="483" t="s">
        <v>201</v>
      </c>
      <c r="M476" s="484" t="s">
        <v>461</v>
      </c>
      <c r="N476" s="484" t="s">
        <v>208</v>
      </c>
      <c r="O476" s="483" t="e">
        <f t="shared" si="27"/>
        <v>#VALUE!</v>
      </c>
      <c r="P476" s="483"/>
    </row>
    <row r="477" spans="1:16" ht="12.75">
      <c r="A477" s="485">
        <v>781111101</v>
      </c>
      <c r="B477" s="483" t="s">
        <v>155</v>
      </c>
      <c r="C477" s="483">
        <v>282616949.49</v>
      </c>
      <c r="D477" s="483">
        <v>282616949.49</v>
      </c>
      <c r="E477" s="483"/>
      <c r="F477" s="483"/>
      <c r="G477" s="483"/>
      <c r="H477" s="483"/>
      <c r="I477" s="483"/>
      <c r="J477" s="483"/>
      <c r="K477" s="483"/>
      <c r="L477" s="483">
        <v>392673000</v>
      </c>
      <c r="M477" s="483">
        <v>71.97259538852938</v>
      </c>
      <c r="N477" s="483">
        <f>C477*100/444096249.24</f>
        <v>63.63867066512133</v>
      </c>
      <c r="O477" s="483">
        <v>392673000</v>
      </c>
      <c r="P477" s="483"/>
    </row>
    <row r="478" spans="1:16" ht="12.75">
      <c r="A478" s="485">
        <v>781111102</v>
      </c>
      <c r="B478" s="483" t="s">
        <v>156</v>
      </c>
      <c r="C478" s="483">
        <v>5704999.32</v>
      </c>
      <c r="D478" s="483">
        <v>5704999.32</v>
      </c>
      <c r="E478" s="483"/>
      <c r="F478" s="483"/>
      <c r="G478" s="483"/>
      <c r="H478" s="483"/>
      <c r="I478" s="483"/>
      <c r="J478" s="483"/>
      <c r="K478" s="483"/>
      <c r="L478" s="483">
        <v>6545000</v>
      </c>
      <c r="M478" s="483">
        <v>87.16576501145913</v>
      </c>
      <c r="N478" s="483">
        <f aca="true" t="shared" si="28" ref="N478:N499">C478*100/444096249.24</f>
        <v>1.2846312775131963</v>
      </c>
      <c r="O478" s="483">
        <v>6545000</v>
      </c>
      <c r="P478" s="483"/>
    </row>
    <row r="479" spans="1:16" ht="12.75">
      <c r="A479" s="485">
        <v>781111103</v>
      </c>
      <c r="B479" s="483" t="s">
        <v>157</v>
      </c>
      <c r="C479" s="483">
        <v>23959499.99</v>
      </c>
      <c r="D479" s="483">
        <v>23959499.99</v>
      </c>
      <c r="E479" s="483"/>
      <c r="F479" s="483"/>
      <c r="G479" s="483"/>
      <c r="H479" s="483"/>
      <c r="I479" s="483"/>
      <c r="J479" s="483"/>
      <c r="K479" s="483"/>
      <c r="L479" s="483">
        <v>29615000</v>
      </c>
      <c r="M479" s="483">
        <v>80.90325845010975</v>
      </c>
      <c r="N479" s="483">
        <f t="shared" si="28"/>
        <v>5.3951142417894475</v>
      </c>
      <c r="O479" s="483">
        <v>29615000</v>
      </c>
      <c r="P479" s="483"/>
    </row>
    <row r="480" spans="1:16" ht="12.75">
      <c r="A480" s="485">
        <v>781111104</v>
      </c>
      <c r="B480" s="483" t="s">
        <v>158</v>
      </c>
      <c r="C480" s="483">
        <v>13864624.46</v>
      </c>
      <c r="D480" s="483">
        <v>13864624.46</v>
      </c>
      <c r="E480" s="483"/>
      <c r="F480" s="483"/>
      <c r="G480" s="483"/>
      <c r="H480" s="483"/>
      <c r="I480" s="483"/>
      <c r="J480" s="483"/>
      <c r="K480" s="483"/>
      <c r="L480" s="483">
        <v>19399000</v>
      </c>
      <c r="M480" s="483">
        <v>71.47082045466261</v>
      </c>
      <c r="N480" s="483">
        <f t="shared" si="28"/>
        <v>3.1219863900510525</v>
      </c>
      <c r="O480" s="483">
        <f>27228000-7829000</f>
        <v>19399000</v>
      </c>
      <c r="P480" s="483"/>
    </row>
    <row r="481" spans="1:16" ht="12.75">
      <c r="A481" s="485">
        <v>781111105</v>
      </c>
      <c r="B481" s="483" t="s">
        <v>159</v>
      </c>
      <c r="C481" s="483">
        <v>7136611.48</v>
      </c>
      <c r="D481" s="483">
        <v>7136611.48</v>
      </c>
      <c r="E481" s="483"/>
      <c r="F481" s="483"/>
      <c r="G481" s="483"/>
      <c r="H481" s="483"/>
      <c r="I481" s="483"/>
      <c r="J481" s="483"/>
      <c r="K481" s="483"/>
      <c r="L481" s="483">
        <v>11028000</v>
      </c>
      <c r="M481" s="483">
        <v>64.71356075444324</v>
      </c>
      <c r="N481" s="483">
        <f t="shared" si="28"/>
        <v>1.606996567121018</v>
      </c>
      <c r="O481" s="483">
        <v>11028000</v>
      </c>
      <c r="P481" s="483"/>
    </row>
    <row r="482" spans="1:16" ht="12.75">
      <c r="A482" s="485">
        <v>781111106</v>
      </c>
      <c r="B482" s="483" t="s">
        <v>160</v>
      </c>
      <c r="C482" s="483">
        <v>7703500.03</v>
      </c>
      <c r="D482" s="483">
        <v>7703500.03</v>
      </c>
      <c r="E482" s="483"/>
      <c r="F482" s="483"/>
      <c r="G482" s="483"/>
      <c r="H482" s="483"/>
      <c r="I482" s="483"/>
      <c r="J482" s="483"/>
      <c r="K482" s="483"/>
      <c r="L482" s="483">
        <v>10051000</v>
      </c>
      <c r="M482" s="483">
        <v>76.64411531190926</v>
      </c>
      <c r="N482" s="483">
        <f t="shared" si="28"/>
        <v>1.7346464968311066</v>
      </c>
      <c r="O482" s="483">
        <v>10051000</v>
      </c>
      <c r="P482" s="483"/>
    </row>
    <row r="483" spans="1:16" ht="12.75">
      <c r="A483" s="485">
        <v>781111207</v>
      </c>
      <c r="B483" s="483" t="s">
        <v>540</v>
      </c>
      <c r="C483" s="483">
        <v>1535145.75</v>
      </c>
      <c r="D483" s="483">
        <v>1535145.75</v>
      </c>
      <c r="E483" s="483"/>
      <c r="F483" s="483"/>
      <c r="G483" s="483"/>
      <c r="H483" s="483"/>
      <c r="I483" s="483"/>
      <c r="J483" s="483"/>
      <c r="K483" s="483"/>
      <c r="L483" s="483"/>
      <c r="M483" s="483"/>
      <c r="N483" s="483">
        <f t="shared" si="28"/>
        <v>0.34567861192864324</v>
      </c>
      <c r="O483" s="483">
        <v>2050000</v>
      </c>
      <c r="P483" s="483"/>
    </row>
    <row r="484" spans="1:16" ht="12.75">
      <c r="A484" s="485">
        <v>781111312</v>
      </c>
      <c r="B484" s="483" t="s">
        <v>541</v>
      </c>
      <c r="C484" s="483">
        <v>28796622</v>
      </c>
      <c r="D484" s="483">
        <v>28796622</v>
      </c>
      <c r="E484" s="483"/>
      <c r="F484" s="483"/>
      <c r="G484" s="483"/>
      <c r="H484" s="483"/>
      <c r="I484" s="483"/>
      <c r="J484" s="483"/>
      <c r="K484" s="483"/>
      <c r="L484" s="483">
        <v>47702000</v>
      </c>
      <c r="M484" s="483">
        <v>60.36774558718712</v>
      </c>
      <c r="N484" s="483">
        <f t="shared" si="28"/>
        <v>6.48432002055429</v>
      </c>
      <c r="O484" s="508">
        <v>48256000</v>
      </c>
      <c r="P484" s="483" t="s">
        <v>559</v>
      </c>
    </row>
    <row r="485" spans="1:16" ht="12.75">
      <c r="A485" s="485">
        <v>781111301</v>
      </c>
      <c r="B485" s="483" t="s">
        <v>542</v>
      </c>
      <c r="C485" s="483">
        <v>9014583.35</v>
      </c>
      <c r="D485" s="483">
        <v>9014583.35</v>
      </c>
      <c r="E485" s="483"/>
      <c r="F485" s="483"/>
      <c r="G485" s="483"/>
      <c r="H485" s="483"/>
      <c r="I485" s="483"/>
      <c r="J485" s="483"/>
      <c r="K485" s="483"/>
      <c r="L485" s="483"/>
      <c r="M485" s="483"/>
      <c r="N485" s="483">
        <f t="shared" si="28"/>
        <v>2.029871534701548</v>
      </c>
      <c r="O485" s="483">
        <f>24002000+21635000</f>
        <v>45637000</v>
      </c>
      <c r="P485" s="483"/>
    </row>
    <row r="486" spans="1:16" ht="12.75">
      <c r="A486" s="485">
        <v>781111302</v>
      </c>
      <c r="B486" s="483" t="s">
        <v>543</v>
      </c>
      <c r="C486" s="483">
        <v>208000</v>
      </c>
      <c r="D486" s="483">
        <v>208000</v>
      </c>
      <c r="E486" s="483"/>
      <c r="F486" s="483"/>
      <c r="G486" s="483"/>
      <c r="H486" s="483"/>
      <c r="I486" s="483"/>
      <c r="J486" s="483"/>
      <c r="K486" s="483"/>
      <c r="L486" s="483"/>
      <c r="M486" s="483"/>
      <c r="N486" s="483">
        <f t="shared" si="28"/>
        <v>0.04683669370231315</v>
      </c>
      <c r="O486" s="483">
        <v>312000</v>
      </c>
      <c r="P486" s="483"/>
    </row>
    <row r="487" spans="1:16" ht="12.75">
      <c r="A487" s="485">
        <v>781111304</v>
      </c>
      <c r="B487" s="483" t="s">
        <v>544</v>
      </c>
      <c r="C487" s="483">
        <v>202416.67</v>
      </c>
      <c r="D487" s="483">
        <v>202416.67</v>
      </c>
      <c r="E487" s="483"/>
      <c r="F487" s="483"/>
      <c r="G487" s="483"/>
      <c r="H487" s="483"/>
      <c r="I487" s="483"/>
      <c r="J487" s="483"/>
      <c r="K487" s="483"/>
      <c r="L487" s="483"/>
      <c r="M487" s="483"/>
      <c r="N487" s="483">
        <f t="shared" si="28"/>
        <v>0.04557945948573173</v>
      </c>
      <c r="O487" s="483">
        <f>1361000-263000</f>
        <v>1098000</v>
      </c>
      <c r="P487" s="483"/>
    </row>
    <row r="488" spans="1:16" ht="12.75">
      <c r="A488" s="485">
        <v>781111305</v>
      </c>
      <c r="B488" s="483" t="s">
        <v>545</v>
      </c>
      <c r="C488" s="483">
        <v>95333.33</v>
      </c>
      <c r="D488" s="483">
        <v>95333.33</v>
      </c>
      <c r="E488" s="483"/>
      <c r="F488" s="483"/>
      <c r="G488" s="483"/>
      <c r="H488" s="483"/>
      <c r="I488" s="483"/>
      <c r="J488" s="483"/>
      <c r="K488" s="483"/>
      <c r="L488" s="483"/>
      <c r="M488" s="483"/>
      <c r="N488" s="483">
        <f t="shared" si="28"/>
        <v>0.02146681719630549</v>
      </c>
      <c r="O488" s="483">
        <v>579000</v>
      </c>
      <c r="P488" s="483"/>
    </row>
    <row r="489" spans="1:16" ht="12.75">
      <c r="A489" s="485">
        <v>781111306</v>
      </c>
      <c r="B489" s="483" t="s">
        <v>546</v>
      </c>
      <c r="C489" s="483">
        <v>103833.33</v>
      </c>
      <c r="D489" s="483">
        <v>103833.33</v>
      </c>
      <c r="E489" s="483"/>
      <c r="F489" s="483"/>
      <c r="G489" s="483"/>
      <c r="H489" s="483"/>
      <c r="I489" s="483"/>
      <c r="J489" s="483"/>
      <c r="K489" s="483"/>
      <c r="L489" s="483"/>
      <c r="M489" s="483"/>
      <c r="N489" s="483">
        <f t="shared" si="28"/>
        <v>0.023380816698563477</v>
      </c>
      <c r="O489" s="483">
        <v>630000</v>
      </c>
      <c r="P489" s="483"/>
    </row>
    <row r="490" spans="1:16" ht="12.75">
      <c r="A490" s="486">
        <v>7811</v>
      </c>
      <c r="B490" s="487" t="s">
        <v>406</v>
      </c>
      <c r="C490" s="487">
        <v>380942119.2</v>
      </c>
      <c r="D490" s="487">
        <v>380942119.2</v>
      </c>
      <c r="E490" s="487"/>
      <c r="F490" s="487"/>
      <c r="G490" s="487"/>
      <c r="H490" s="487"/>
      <c r="I490" s="487"/>
      <c r="J490" s="487"/>
      <c r="K490" s="487"/>
      <c r="L490" s="487">
        <v>517013000</v>
      </c>
      <c r="M490" s="487">
        <v>73.68134248075</v>
      </c>
      <c r="N490" s="487">
        <f t="shared" si="28"/>
        <v>85.77917959269455</v>
      </c>
      <c r="O490" s="507">
        <f>O477+O478+O479+O480+O481+O482+O483+O484</f>
        <v>519617000</v>
      </c>
      <c r="P490" s="507">
        <v>519617000</v>
      </c>
    </row>
    <row r="491" spans="1:16" ht="12.75">
      <c r="A491" s="485">
        <v>781111408</v>
      </c>
      <c r="B491" s="483" t="s">
        <v>162</v>
      </c>
      <c r="C491" s="483">
        <v>2950590</v>
      </c>
      <c r="D491" s="483"/>
      <c r="E491" s="483">
        <v>2950590</v>
      </c>
      <c r="F491" s="483"/>
      <c r="G491" s="483"/>
      <c r="H491" s="483"/>
      <c r="I491" s="483"/>
      <c r="J491" s="483"/>
      <c r="K491" s="483"/>
      <c r="L491" s="483"/>
      <c r="M491" s="483"/>
      <c r="N491" s="483">
        <f t="shared" si="28"/>
        <v>0.6644032695726354</v>
      </c>
      <c r="O491" s="483">
        <v>7829000</v>
      </c>
      <c r="P491" s="483"/>
    </row>
    <row r="492" spans="1:16" ht="12.75">
      <c r="A492" s="485">
        <v>781111409</v>
      </c>
      <c r="B492" s="483" t="s">
        <v>163</v>
      </c>
      <c r="C492" s="483">
        <v>177715</v>
      </c>
      <c r="D492" s="483"/>
      <c r="E492" s="483">
        <v>177715</v>
      </c>
      <c r="F492" s="483"/>
      <c r="G492" s="483"/>
      <c r="H492" s="483"/>
      <c r="I492" s="483"/>
      <c r="J492" s="483"/>
      <c r="K492" s="483"/>
      <c r="L492" s="483"/>
      <c r="M492" s="483"/>
      <c r="N492" s="483">
        <f t="shared" si="28"/>
        <v>0.04001722606397395</v>
      </c>
      <c r="O492" s="483">
        <v>263000</v>
      </c>
      <c r="P492" s="483"/>
    </row>
    <row r="493" spans="1:16" ht="12.75">
      <c r="A493" s="485">
        <v>781111410</v>
      </c>
      <c r="B493" s="483" t="s">
        <v>164</v>
      </c>
      <c r="C493" s="483">
        <v>1439330</v>
      </c>
      <c r="D493" s="483"/>
      <c r="E493" s="483">
        <v>1439330</v>
      </c>
      <c r="F493" s="483"/>
      <c r="G493" s="483"/>
      <c r="H493" s="483"/>
      <c r="I493" s="483"/>
      <c r="J493" s="483"/>
      <c r="K493" s="483"/>
      <c r="L493" s="483"/>
      <c r="M493" s="483"/>
      <c r="N493" s="483">
        <f t="shared" si="28"/>
        <v>0.3241031651276461</v>
      </c>
      <c r="O493" s="483"/>
      <c r="P493" s="483"/>
    </row>
    <row r="494" spans="1:16" ht="12.75">
      <c r="A494" s="485">
        <v>781111411</v>
      </c>
      <c r="B494" s="483" t="s">
        <v>165</v>
      </c>
      <c r="C494" s="483">
        <v>85347</v>
      </c>
      <c r="D494" s="483"/>
      <c r="E494" s="483">
        <v>85347</v>
      </c>
      <c r="F494" s="483"/>
      <c r="G494" s="483"/>
      <c r="H494" s="483"/>
      <c r="I494" s="483"/>
      <c r="J494" s="483"/>
      <c r="K494" s="483"/>
      <c r="L494" s="483"/>
      <c r="M494" s="483"/>
      <c r="N494" s="483">
        <f t="shared" si="28"/>
        <v>0.019218131237554427</v>
      </c>
      <c r="O494" s="483"/>
      <c r="P494" s="483"/>
    </row>
    <row r="495" spans="1:16" ht="12.75">
      <c r="A495" s="486">
        <v>7811</v>
      </c>
      <c r="B495" s="487" t="s">
        <v>547</v>
      </c>
      <c r="C495" s="487">
        <v>4652982</v>
      </c>
      <c r="D495" s="487"/>
      <c r="E495" s="487">
        <v>4652982</v>
      </c>
      <c r="F495" s="487"/>
      <c r="G495" s="487"/>
      <c r="H495" s="487"/>
      <c r="I495" s="487"/>
      <c r="J495" s="487"/>
      <c r="K495" s="487"/>
      <c r="L495" s="487">
        <v>8092000</v>
      </c>
      <c r="M495" s="487">
        <v>57.50101334651508</v>
      </c>
      <c r="N495" s="487">
        <f t="shared" si="28"/>
        <v>1.04774179200181</v>
      </c>
      <c r="O495" s="507">
        <f>SUM(O491:O494)</f>
        <v>8092000</v>
      </c>
      <c r="P495" s="507">
        <v>8092000</v>
      </c>
    </row>
    <row r="496" spans="1:16" ht="18.75">
      <c r="A496" s="486">
        <v>7810</v>
      </c>
      <c r="B496" s="493" t="s">
        <v>548</v>
      </c>
      <c r="C496" s="487">
        <v>8554029.34</v>
      </c>
      <c r="D496" s="487">
        <v>8554029.34</v>
      </c>
      <c r="E496" s="487"/>
      <c r="F496" s="487"/>
      <c r="G496" s="487"/>
      <c r="H496" s="487"/>
      <c r="I496" s="487"/>
      <c r="J496" s="487"/>
      <c r="K496" s="487"/>
      <c r="L496" s="487">
        <v>8638000</v>
      </c>
      <c r="M496" s="487">
        <v>99.02789233618893</v>
      </c>
      <c r="N496" s="487">
        <f t="shared" si="28"/>
        <v>1.9261656351835572</v>
      </c>
      <c r="O496" s="483">
        <f>C496/3*4</f>
        <v>11405372.453333333</v>
      </c>
      <c r="P496" s="532">
        <v>11400000</v>
      </c>
    </row>
    <row r="497" spans="1:16" ht="12.75">
      <c r="A497" s="485">
        <v>791111</v>
      </c>
      <c r="B497" s="483" t="s">
        <v>549</v>
      </c>
      <c r="C497" s="483">
        <v>316800</v>
      </c>
      <c r="D497" s="483"/>
      <c r="E497" s="483"/>
      <c r="F497" s="483"/>
      <c r="G497" s="483"/>
      <c r="H497" s="483"/>
      <c r="I497" s="483"/>
      <c r="J497" s="483"/>
      <c r="K497" s="483">
        <v>316800</v>
      </c>
      <c r="L497" s="483"/>
      <c r="M497" s="483"/>
      <c r="N497" s="483">
        <f t="shared" si="28"/>
        <v>0.07133588733121542</v>
      </c>
      <c r="O497" s="483">
        <f>C497/3*4</f>
        <v>422400</v>
      </c>
      <c r="P497" s="483"/>
    </row>
    <row r="498" spans="1:16" ht="12.75">
      <c r="A498" s="486">
        <v>7911</v>
      </c>
      <c r="B498" s="487" t="s">
        <v>550</v>
      </c>
      <c r="C498" s="487">
        <v>316800</v>
      </c>
      <c r="D498" s="487"/>
      <c r="E498" s="487"/>
      <c r="F498" s="487"/>
      <c r="G498" s="487"/>
      <c r="H498" s="487"/>
      <c r="I498" s="487"/>
      <c r="J498" s="487"/>
      <c r="K498" s="487">
        <v>316800</v>
      </c>
      <c r="L498" s="487"/>
      <c r="M498" s="487"/>
      <c r="N498" s="487">
        <f t="shared" si="28"/>
        <v>0.07133588733121542</v>
      </c>
      <c r="O498" s="507">
        <v>316800</v>
      </c>
      <c r="P498" s="507">
        <v>316800</v>
      </c>
    </row>
    <row r="499" spans="1:16" ht="12.75">
      <c r="A499" s="485"/>
      <c r="B499" s="483" t="s">
        <v>560</v>
      </c>
      <c r="C499" s="483">
        <v>444096249.23999995</v>
      </c>
      <c r="D499" s="483">
        <v>390238079.14</v>
      </c>
      <c r="E499" s="483">
        <v>4652982</v>
      </c>
      <c r="F499" s="483">
        <v>37260395.04000001</v>
      </c>
      <c r="G499" s="483">
        <v>1729235.44</v>
      </c>
      <c r="H499" s="483">
        <v>5773355.11</v>
      </c>
      <c r="I499" s="483">
        <v>0</v>
      </c>
      <c r="J499" s="483">
        <v>2130402.51</v>
      </c>
      <c r="K499" s="483">
        <v>2311800</v>
      </c>
      <c r="L499" s="483">
        <v>620643350</v>
      </c>
      <c r="M499" s="483">
        <v>71.5541782957958</v>
      </c>
      <c r="N499" s="483">
        <f t="shared" si="28"/>
        <v>99.99999999999999</v>
      </c>
      <c r="O499" s="483">
        <f>C499/3*4</f>
        <v>592128332.3199999</v>
      </c>
      <c r="P499" s="507">
        <f>P498+P495+P490+P475+P473+P468+P462+P460+P448+P446+P496</f>
        <v>626106150</v>
      </c>
    </row>
    <row r="500" spans="1:16" ht="12.75">
      <c r="A500" s="499"/>
      <c r="B500" s="492" t="s">
        <v>551</v>
      </c>
      <c r="C500" s="492">
        <f>C499*100/444096249.24</f>
        <v>99.99999999999999</v>
      </c>
      <c r="D500" s="492">
        <f aca="true" t="shared" si="29" ref="D500:K500">D499*100/444096249.24</f>
        <v>87.87241049836163</v>
      </c>
      <c r="E500" s="492">
        <f t="shared" si="29"/>
        <v>1.04774179200181</v>
      </c>
      <c r="F500" s="492">
        <f t="shared" si="29"/>
        <v>8.390162065940713</v>
      </c>
      <c r="G500" s="492">
        <f t="shared" si="29"/>
        <v>0.3893830319349265</v>
      </c>
      <c r="H500" s="492">
        <f t="shared" si="29"/>
        <v>1.3000233890468964</v>
      </c>
      <c r="I500" s="492">
        <f t="shared" si="29"/>
        <v>0</v>
      </c>
      <c r="J500" s="492">
        <f t="shared" si="29"/>
        <v>0.47971639338225536</v>
      </c>
      <c r="K500" s="492">
        <f t="shared" si="29"/>
        <v>0.520562829331767</v>
      </c>
      <c r="L500" s="481"/>
      <c r="M500" s="481"/>
      <c r="N500" s="481"/>
      <c r="O500" s="483">
        <f>C500/3*4</f>
        <v>133.33333333333331</v>
      </c>
      <c r="P500" s="483"/>
    </row>
    <row r="501" spans="1:16" ht="12.75">
      <c r="A501" s="499"/>
      <c r="B501" s="502"/>
      <c r="C501" s="502"/>
      <c r="D501" s="502"/>
      <c r="E501" s="502"/>
      <c r="F501" s="502"/>
      <c r="G501" s="502"/>
      <c r="H501" s="502"/>
      <c r="I501" s="502"/>
      <c r="J501" s="502"/>
      <c r="K501" s="502"/>
      <c r="L501" s="481"/>
      <c r="M501" s="481"/>
      <c r="N501" s="481"/>
      <c r="O501" s="483"/>
      <c r="P501" s="483"/>
    </row>
    <row r="502" spans="1:16" ht="12.75">
      <c r="A502" s="499"/>
      <c r="B502" s="481"/>
      <c r="C502" s="481"/>
      <c r="D502" s="482" t="s">
        <v>455</v>
      </c>
      <c r="E502" s="482"/>
      <c r="F502" s="482"/>
      <c r="G502" s="482"/>
      <c r="H502" s="481"/>
      <c r="I502" s="481"/>
      <c r="J502" s="481"/>
      <c r="K502" s="481"/>
      <c r="L502" s="481"/>
      <c r="M502" s="481"/>
      <c r="N502" s="481"/>
      <c r="O502" s="483"/>
      <c r="P502" s="483"/>
    </row>
    <row r="503" spans="1:16" ht="12.75">
      <c r="A503" s="500" t="s">
        <v>552</v>
      </c>
      <c r="B503" s="481"/>
      <c r="C503" s="481"/>
      <c r="D503" s="481"/>
      <c r="E503" s="481"/>
      <c r="F503" s="481"/>
      <c r="G503" s="481"/>
      <c r="H503" s="481"/>
      <c r="I503" s="481"/>
      <c r="J503" s="481"/>
      <c r="K503" s="481"/>
      <c r="L503" s="481"/>
      <c r="M503" s="481"/>
      <c r="N503" s="481"/>
      <c r="O503" s="483"/>
      <c r="P503" s="483"/>
    </row>
    <row r="504" spans="1:16" ht="29.25">
      <c r="A504" s="483" t="s">
        <v>0</v>
      </c>
      <c r="B504" s="483" t="s">
        <v>1</v>
      </c>
      <c r="C504" s="483" t="s">
        <v>2</v>
      </c>
      <c r="D504" s="483" t="s">
        <v>403</v>
      </c>
      <c r="E504" s="483" t="s">
        <v>4</v>
      </c>
      <c r="F504" s="484" t="s">
        <v>457</v>
      </c>
      <c r="G504" s="483" t="s">
        <v>6</v>
      </c>
      <c r="H504" s="484" t="s">
        <v>458</v>
      </c>
      <c r="I504" s="483" t="s">
        <v>191</v>
      </c>
      <c r="J504" s="483" t="s">
        <v>459</v>
      </c>
      <c r="K504" s="484" t="s">
        <v>460</v>
      </c>
      <c r="L504" s="483" t="s">
        <v>201</v>
      </c>
      <c r="M504" s="484" t="s">
        <v>461</v>
      </c>
      <c r="N504" s="484" t="s">
        <v>208</v>
      </c>
      <c r="O504" s="483" t="e">
        <f aca="true" t="shared" si="30" ref="O504:O511">C504/3*4</f>
        <v>#VALUE!</v>
      </c>
      <c r="P504" s="483"/>
    </row>
    <row r="505" spans="1:16" ht="12.75">
      <c r="A505" s="485">
        <v>812161</v>
      </c>
      <c r="B505" s="483" t="s">
        <v>553</v>
      </c>
      <c r="C505" s="483">
        <v>677.97</v>
      </c>
      <c r="D505" s="483"/>
      <c r="E505" s="483"/>
      <c r="F505" s="483">
        <v>677.97</v>
      </c>
      <c r="G505" s="483"/>
      <c r="H505" s="483"/>
      <c r="I505" s="483"/>
      <c r="J505" s="483"/>
      <c r="K505" s="483"/>
      <c r="L505" s="483">
        <v>30000</v>
      </c>
      <c r="M505" s="483">
        <v>2.2599</v>
      </c>
      <c r="N505" s="483"/>
      <c r="O505" s="483">
        <f t="shared" si="30"/>
        <v>903.96</v>
      </c>
      <c r="P505" s="483"/>
    </row>
    <row r="506" spans="1:16" ht="12.75">
      <c r="A506" s="485">
        <v>8121</v>
      </c>
      <c r="B506" s="483" t="s">
        <v>553</v>
      </c>
      <c r="C506" s="483">
        <v>677.97</v>
      </c>
      <c r="D506" s="483"/>
      <c r="E506" s="483"/>
      <c r="F506" s="483">
        <v>677.97</v>
      </c>
      <c r="G506" s="483"/>
      <c r="H506" s="483"/>
      <c r="I506" s="483"/>
      <c r="J506" s="483"/>
      <c r="K506" s="483"/>
      <c r="L506" s="483">
        <v>30000</v>
      </c>
      <c r="M506" s="483">
        <v>2.2599</v>
      </c>
      <c r="N506" s="483"/>
      <c r="O506" s="483">
        <f t="shared" si="30"/>
        <v>903.96</v>
      </c>
      <c r="P506" s="483"/>
    </row>
    <row r="507" spans="1:16" ht="12.75">
      <c r="A507" s="485"/>
      <c r="B507" s="483" t="s">
        <v>554</v>
      </c>
      <c r="C507" s="483">
        <v>677.97</v>
      </c>
      <c r="D507" s="483"/>
      <c r="E507" s="483"/>
      <c r="F507" s="483">
        <v>677.97</v>
      </c>
      <c r="G507" s="483"/>
      <c r="H507" s="483"/>
      <c r="I507" s="483"/>
      <c r="J507" s="483"/>
      <c r="K507" s="483"/>
      <c r="L507" s="483">
        <v>30000</v>
      </c>
      <c r="M507" s="483">
        <v>2.2599</v>
      </c>
      <c r="N507" s="483"/>
      <c r="O507" s="483">
        <f t="shared" si="30"/>
        <v>903.96</v>
      </c>
      <c r="P507" s="483"/>
    </row>
    <row r="508" spans="1:16" ht="12.75">
      <c r="A508" s="485"/>
      <c r="B508" s="483" t="s">
        <v>555</v>
      </c>
      <c r="C508" s="483"/>
      <c r="D508" s="483"/>
      <c r="E508" s="483"/>
      <c r="F508" s="483"/>
      <c r="G508" s="483"/>
      <c r="H508" s="483"/>
      <c r="I508" s="483"/>
      <c r="J508" s="483"/>
      <c r="K508" s="483"/>
      <c r="L508" s="483">
        <v>14350000</v>
      </c>
      <c r="M508" s="483"/>
      <c r="N508" s="483"/>
      <c r="O508" s="483">
        <f t="shared" si="30"/>
        <v>0</v>
      </c>
      <c r="P508" s="507">
        <v>14350000</v>
      </c>
    </row>
    <row r="509" spans="1:16" ht="12.75">
      <c r="A509" s="485"/>
      <c r="B509" s="483" t="s">
        <v>556</v>
      </c>
      <c r="C509" s="483">
        <v>444096927.21</v>
      </c>
      <c r="D509" s="483">
        <v>390238079.14</v>
      </c>
      <c r="E509" s="483">
        <v>4652982</v>
      </c>
      <c r="F509" s="483">
        <v>37261073.010000005</v>
      </c>
      <c r="G509" s="483">
        <v>1729235.44</v>
      </c>
      <c r="H509" s="483">
        <v>5773355.11</v>
      </c>
      <c r="I509" s="483">
        <v>0</v>
      </c>
      <c r="J509" s="483">
        <v>2130402.51</v>
      </c>
      <c r="K509" s="483">
        <v>2311800</v>
      </c>
      <c r="L509" s="483">
        <v>634993350</v>
      </c>
      <c r="M509" s="483">
        <v>69.93725638386607</v>
      </c>
      <c r="N509" s="483"/>
      <c r="O509" s="483">
        <f t="shared" si="30"/>
        <v>592129236.28</v>
      </c>
      <c r="P509" s="510">
        <f>P499+P508</f>
        <v>640456150</v>
      </c>
    </row>
    <row r="510" spans="1:16" ht="12.75">
      <c r="A510" s="499"/>
      <c r="B510" s="481"/>
      <c r="C510" s="481"/>
      <c r="D510" s="481"/>
      <c r="E510" s="481"/>
      <c r="F510" s="481"/>
      <c r="G510" s="481"/>
      <c r="H510" s="481"/>
      <c r="I510" s="481"/>
      <c r="J510" s="481"/>
      <c r="K510" s="481"/>
      <c r="L510" s="481"/>
      <c r="M510" s="481"/>
      <c r="N510" s="481"/>
      <c r="O510" s="483">
        <f t="shared" si="30"/>
        <v>0</v>
      </c>
      <c r="P510" s="513">
        <f>P509-P439</f>
        <v>8110000</v>
      </c>
    </row>
    <row r="511" spans="1:16" ht="12.75">
      <c r="A511" s="499"/>
      <c r="B511" s="483" t="s">
        <v>519</v>
      </c>
      <c r="C511" s="483">
        <v>5333552.629999995</v>
      </c>
      <c r="D511" s="483">
        <v>-826246.2099999785</v>
      </c>
      <c r="E511" s="483">
        <v>2026684.2999999998</v>
      </c>
      <c r="F511" s="483">
        <v>3642253.330000013</v>
      </c>
      <c r="G511" s="483">
        <v>-637504.9000000004</v>
      </c>
      <c r="H511" s="483">
        <v>742237.4800000004</v>
      </c>
      <c r="I511" s="483">
        <v>-579734.4099999999</v>
      </c>
      <c r="J511" s="483">
        <v>-820000</v>
      </c>
      <c r="K511" s="483">
        <v>1785863.04</v>
      </c>
      <c r="L511" s="483">
        <v>0</v>
      </c>
      <c r="M511" s="481"/>
      <c r="N511" s="481"/>
      <c r="O511" s="483">
        <f t="shared" si="30"/>
        <v>7111403.50666666</v>
      </c>
      <c r="P511" s="510"/>
    </row>
    <row r="512" ht="12.75">
      <c r="P512" s="505"/>
    </row>
    <row r="514" ht="12.75">
      <c r="P514" s="531"/>
    </row>
  </sheetData>
  <sheetProtection/>
  <printOptions/>
  <pageMargins left="0.25" right="0.25" top="0.75" bottom="0.75" header="0.3" footer="0.3"/>
  <pageSetup horizontalDpi="600" verticalDpi="600" orientation="landscape" paperSize="9" scale="9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88">
      <selection activeCell="G108" sqref="G108"/>
    </sheetView>
  </sheetViews>
  <sheetFormatPr defaultColWidth="9.140625" defaultRowHeight="12.75"/>
  <cols>
    <col min="1" max="1" width="6.8515625" style="0" customWidth="1"/>
    <col min="2" max="2" width="34.57421875" style="0" customWidth="1"/>
    <col min="3" max="3" width="14.140625" style="0" customWidth="1"/>
    <col min="4" max="4" width="12.00390625" style="0" customWidth="1"/>
    <col min="5" max="5" width="11.8515625" style="0" customWidth="1"/>
    <col min="6" max="6" width="10.7109375" style="0" customWidth="1"/>
    <col min="7" max="9" width="12.140625" style="0" customWidth="1"/>
    <col min="10" max="10" width="13.00390625" style="0" customWidth="1"/>
    <col min="11" max="11" width="12.28125" style="0" customWidth="1"/>
    <col min="12" max="12" width="14.28125" style="0" customWidth="1"/>
    <col min="13" max="13" width="11.57421875" style="0" customWidth="1"/>
    <col min="14" max="14" width="12.421875" style="0" customWidth="1"/>
    <col min="15" max="15" width="11.00390625" style="0" customWidth="1"/>
    <col min="16" max="16" width="10.8515625" style="0" customWidth="1"/>
  </cols>
  <sheetData>
    <row r="1" spans="1:11" ht="12.75">
      <c r="A1" s="718" t="s">
        <v>724</v>
      </c>
      <c r="B1" s="718"/>
      <c r="C1" s="719"/>
      <c r="D1" s="719"/>
      <c r="E1" s="719" t="s">
        <v>712</v>
      </c>
      <c r="G1" s="742"/>
      <c r="H1" s="742"/>
      <c r="I1" s="540"/>
      <c r="J1" s="540"/>
      <c r="K1" s="540"/>
    </row>
    <row r="2" spans="1:11" ht="12.75">
      <c r="A2" s="718"/>
      <c r="B2" s="718"/>
      <c r="G2" s="763" t="s">
        <v>713</v>
      </c>
      <c r="H2" s="764"/>
      <c r="I2" s="764"/>
      <c r="J2" s="765"/>
      <c r="K2" s="540"/>
    </row>
    <row r="3" spans="1:11" ht="56.25">
      <c r="A3" s="571" t="s">
        <v>399</v>
      </c>
      <c r="B3" s="571" t="s">
        <v>400</v>
      </c>
      <c r="C3" s="563" t="s">
        <v>725</v>
      </c>
      <c r="D3" s="717" t="s">
        <v>710</v>
      </c>
      <c r="E3" s="717" t="s">
        <v>403</v>
      </c>
      <c r="F3" s="717" t="s">
        <v>404</v>
      </c>
      <c r="G3" s="741" t="s">
        <v>710</v>
      </c>
      <c r="H3" s="741" t="s">
        <v>403</v>
      </c>
      <c r="I3" s="575" t="s">
        <v>404</v>
      </c>
      <c r="J3" s="733" t="s">
        <v>720</v>
      </c>
      <c r="K3" s="731" t="s">
        <v>609</v>
      </c>
    </row>
    <row r="4" spans="1:11" ht="33.75">
      <c r="A4" s="720">
        <v>733000</v>
      </c>
      <c r="B4" s="726" t="s">
        <v>711</v>
      </c>
      <c r="C4" s="557">
        <v>39985400</v>
      </c>
      <c r="D4" s="739">
        <v>39985400</v>
      </c>
      <c r="E4" s="739"/>
      <c r="F4" s="715"/>
      <c r="G4" s="733">
        <v>39985400</v>
      </c>
      <c r="H4" s="733"/>
      <c r="I4" s="733"/>
      <c r="J4" s="733">
        <f>G4+H4+I4</f>
        <v>39985400</v>
      </c>
      <c r="K4" s="734">
        <f>J4-C4</f>
        <v>0</v>
      </c>
    </row>
    <row r="5" spans="1:11" ht="12.75">
      <c r="A5" s="720">
        <v>741000</v>
      </c>
      <c r="B5" s="721" t="s">
        <v>405</v>
      </c>
      <c r="C5" s="557"/>
      <c r="D5" s="739"/>
      <c r="E5" s="739"/>
      <c r="F5" s="715"/>
      <c r="G5" s="733"/>
      <c r="H5" s="733">
        <v>300000</v>
      </c>
      <c r="I5" s="733"/>
      <c r="J5" s="733">
        <f aca="true" t="shared" si="0" ref="J5:J12">G5+H5+I5</f>
        <v>300000</v>
      </c>
      <c r="K5" s="734">
        <f aca="true" t="shared" si="1" ref="K5:K13">J5-C5</f>
        <v>300000</v>
      </c>
    </row>
    <row r="6" spans="1:11" ht="12.75">
      <c r="A6" s="720">
        <v>742000</v>
      </c>
      <c r="B6" s="547" t="s">
        <v>678</v>
      </c>
      <c r="C6" s="557">
        <f aca="true" t="shared" si="2" ref="C6:C12">D6+E6+F6</f>
        <v>39000000</v>
      </c>
      <c r="D6" s="557">
        <f>D7+D8+D9+D10+D11</f>
        <v>0</v>
      </c>
      <c r="E6" s="557">
        <f>E7+E8+E9+E10+E11</f>
        <v>0</v>
      </c>
      <c r="F6" s="557">
        <v>39000000</v>
      </c>
      <c r="G6" s="549"/>
      <c r="H6" s="549"/>
      <c r="I6" s="549">
        <f>I7+I8+I9+I10+I11</f>
        <v>35920000</v>
      </c>
      <c r="J6" s="733">
        <f t="shared" si="0"/>
        <v>35920000</v>
      </c>
      <c r="K6" s="734">
        <f t="shared" si="1"/>
        <v>-3080000</v>
      </c>
    </row>
    <row r="7" spans="1:11" ht="12.75">
      <c r="A7" s="722"/>
      <c r="B7" s="722" t="s">
        <v>675</v>
      </c>
      <c r="C7" s="557">
        <f t="shared" si="2"/>
        <v>0</v>
      </c>
      <c r="D7" s="715"/>
      <c r="E7" s="715"/>
      <c r="F7" s="715"/>
      <c r="G7" s="733"/>
      <c r="H7" s="733"/>
      <c r="I7" s="733">
        <v>11500000</v>
      </c>
      <c r="J7" s="733">
        <f t="shared" si="0"/>
        <v>11500000</v>
      </c>
      <c r="K7" s="734">
        <f t="shared" si="1"/>
        <v>11500000</v>
      </c>
    </row>
    <row r="8" spans="1:11" ht="12.75">
      <c r="A8" s="563"/>
      <c r="B8" s="563" t="s">
        <v>676</v>
      </c>
      <c r="C8" s="557">
        <f t="shared" si="2"/>
        <v>0</v>
      </c>
      <c r="D8" s="715"/>
      <c r="E8" s="715"/>
      <c r="F8" s="715"/>
      <c r="G8" s="733"/>
      <c r="H8" s="733"/>
      <c r="I8" s="733">
        <f>3300000/9*12</f>
        <v>4400000</v>
      </c>
      <c r="J8" s="733">
        <f t="shared" si="0"/>
        <v>4400000</v>
      </c>
      <c r="K8" s="734">
        <f t="shared" si="1"/>
        <v>4400000</v>
      </c>
    </row>
    <row r="9" spans="1:11" ht="12.75">
      <c r="A9" s="563"/>
      <c r="B9" s="563" t="s">
        <v>677</v>
      </c>
      <c r="C9" s="557">
        <f t="shared" si="2"/>
        <v>0</v>
      </c>
      <c r="D9" s="715"/>
      <c r="E9" s="715"/>
      <c r="F9" s="715"/>
      <c r="G9" s="733"/>
      <c r="H9" s="733"/>
      <c r="I9" s="733">
        <v>19000000</v>
      </c>
      <c r="J9" s="733">
        <f t="shared" si="0"/>
        <v>19000000</v>
      </c>
      <c r="K9" s="734">
        <f t="shared" si="1"/>
        <v>19000000</v>
      </c>
    </row>
    <row r="10" spans="1:11" ht="12.75">
      <c r="A10" s="563"/>
      <c r="B10" s="563" t="s">
        <v>148</v>
      </c>
      <c r="C10" s="557">
        <f t="shared" si="2"/>
        <v>0</v>
      </c>
      <c r="D10" s="715"/>
      <c r="E10" s="715"/>
      <c r="F10" s="715"/>
      <c r="G10" s="733"/>
      <c r="H10" s="733"/>
      <c r="I10" s="733">
        <v>60000</v>
      </c>
      <c r="J10" s="733">
        <f t="shared" si="0"/>
        <v>60000</v>
      </c>
      <c r="K10" s="734">
        <f t="shared" si="1"/>
        <v>60000</v>
      </c>
    </row>
    <row r="11" spans="1:11" ht="12.75">
      <c r="A11" s="563"/>
      <c r="B11" s="563" t="s">
        <v>708</v>
      </c>
      <c r="C11" s="557">
        <f t="shared" si="2"/>
        <v>0</v>
      </c>
      <c r="D11" s="715"/>
      <c r="E11" s="715"/>
      <c r="F11" s="715"/>
      <c r="G11" s="733"/>
      <c r="H11" s="733"/>
      <c r="I11" s="733">
        <v>960000</v>
      </c>
      <c r="J11" s="733">
        <f t="shared" si="0"/>
        <v>960000</v>
      </c>
      <c r="K11" s="734">
        <f t="shared" si="1"/>
        <v>960000</v>
      </c>
    </row>
    <row r="12" spans="1:11" ht="12.75">
      <c r="A12" s="547">
        <v>745000</v>
      </c>
      <c r="B12" s="547" t="s">
        <v>151</v>
      </c>
      <c r="C12" s="557">
        <f t="shared" si="2"/>
        <v>0</v>
      </c>
      <c r="D12" s="715"/>
      <c r="E12" s="715"/>
      <c r="F12" s="715"/>
      <c r="G12" s="733"/>
      <c r="H12" s="733"/>
      <c r="I12" s="733">
        <v>200000</v>
      </c>
      <c r="J12" s="733">
        <f t="shared" si="0"/>
        <v>200000</v>
      </c>
      <c r="K12" s="734">
        <f t="shared" si="1"/>
        <v>200000</v>
      </c>
    </row>
    <row r="13" spans="1:11" ht="22.5">
      <c r="A13" s="547">
        <v>781000</v>
      </c>
      <c r="B13" s="573" t="s">
        <v>687</v>
      </c>
      <c r="C13" s="557">
        <v>486600000</v>
      </c>
      <c r="D13" s="557">
        <f aca="true" t="shared" si="3" ref="D13:J13">D14+D23+D29</f>
        <v>0</v>
      </c>
      <c r="E13" s="557">
        <v>486600000</v>
      </c>
      <c r="F13" s="557">
        <f t="shared" si="3"/>
        <v>0</v>
      </c>
      <c r="G13" s="549">
        <f t="shared" si="3"/>
        <v>0</v>
      </c>
      <c r="H13" s="549">
        <f t="shared" si="3"/>
        <v>530896000</v>
      </c>
      <c r="I13" s="549">
        <f t="shared" si="3"/>
        <v>0</v>
      </c>
      <c r="J13" s="549">
        <f t="shared" si="3"/>
        <v>530896000</v>
      </c>
      <c r="K13" s="734">
        <f t="shared" si="1"/>
        <v>44296000</v>
      </c>
    </row>
    <row r="14" spans="1:11" ht="12.75">
      <c r="A14" s="547"/>
      <c r="B14" s="573" t="s">
        <v>679</v>
      </c>
      <c r="C14" s="557"/>
      <c r="D14" s="557"/>
      <c r="E14" s="557"/>
      <c r="F14" s="557"/>
      <c r="G14" s="549"/>
      <c r="H14" s="549">
        <f>H15+H16+H17+H18+H19+H20+H21+H22</f>
        <v>470008000</v>
      </c>
      <c r="I14" s="549">
        <f>I15+I16+I17+I18+I19+I20+I21+I22</f>
        <v>0</v>
      </c>
      <c r="J14" s="549">
        <f>J15+J16+J17+J18+J19+J20+J21+J22</f>
        <v>470008000</v>
      </c>
      <c r="K14" s="549">
        <f>K15+K16+K17+K18+K19+K20+K21+K22</f>
        <v>470008000</v>
      </c>
    </row>
    <row r="15" spans="1:11" ht="12.75">
      <c r="A15" s="723"/>
      <c r="B15" s="563" t="s">
        <v>681</v>
      </c>
      <c r="C15" s="557"/>
      <c r="D15" s="715"/>
      <c r="E15" s="715"/>
      <c r="F15" s="715"/>
      <c r="G15" s="733"/>
      <c r="H15" s="733">
        <v>363145000</v>
      </c>
      <c r="I15" s="733"/>
      <c r="J15" s="733">
        <f aca="true" t="shared" si="4" ref="J15:J28">G15+H15+I15</f>
        <v>363145000</v>
      </c>
      <c r="K15" s="734">
        <f aca="true" t="shared" si="5" ref="K15:K31">J15-C15</f>
        <v>363145000</v>
      </c>
    </row>
    <row r="16" spans="1:11" ht="12.75">
      <c r="A16" s="723"/>
      <c r="B16" s="563" t="s">
        <v>684</v>
      </c>
      <c r="C16" s="557"/>
      <c r="D16" s="715"/>
      <c r="E16" s="715"/>
      <c r="F16" s="715"/>
      <c r="G16" s="733"/>
      <c r="H16" s="733">
        <v>10786000</v>
      </c>
      <c r="I16" s="733"/>
      <c r="J16" s="733">
        <f t="shared" si="4"/>
        <v>10786000</v>
      </c>
      <c r="K16" s="734">
        <f t="shared" si="5"/>
        <v>10786000</v>
      </c>
    </row>
    <row r="17" spans="1:11" ht="12.75">
      <c r="A17" s="723"/>
      <c r="B17" s="563" t="s">
        <v>682</v>
      </c>
      <c r="C17" s="557"/>
      <c r="D17" s="715"/>
      <c r="E17" s="715"/>
      <c r="F17" s="715"/>
      <c r="G17" s="733"/>
      <c r="H17" s="733">
        <v>27000000</v>
      </c>
      <c r="I17" s="733"/>
      <c r="J17" s="733">
        <f t="shared" si="4"/>
        <v>27000000</v>
      </c>
      <c r="K17" s="734">
        <f t="shared" si="5"/>
        <v>27000000</v>
      </c>
    </row>
    <row r="18" spans="1:11" ht="22.5">
      <c r="A18" s="723"/>
      <c r="B18" s="717" t="s">
        <v>690</v>
      </c>
      <c r="C18" s="557"/>
      <c r="D18" s="715"/>
      <c r="E18" s="715"/>
      <c r="F18" s="715"/>
      <c r="G18" s="733"/>
      <c r="H18" s="733">
        <f>29910000-6010000</f>
        <v>23900000</v>
      </c>
      <c r="I18" s="733"/>
      <c r="J18" s="733">
        <f t="shared" si="4"/>
        <v>23900000</v>
      </c>
      <c r="K18" s="734">
        <f t="shared" si="5"/>
        <v>23900000</v>
      </c>
    </row>
    <row r="19" spans="1:11" ht="12.75">
      <c r="A19" s="723"/>
      <c r="B19" s="717" t="s">
        <v>697</v>
      </c>
      <c r="C19" s="557"/>
      <c r="D19" s="715"/>
      <c r="E19" s="715"/>
      <c r="F19" s="715"/>
      <c r="G19" s="733"/>
      <c r="H19" s="733">
        <f>4800000-520000</f>
        <v>4280000</v>
      </c>
      <c r="I19" s="733"/>
      <c r="J19" s="733">
        <f t="shared" si="4"/>
        <v>4280000</v>
      </c>
      <c r="K19" s="734">
        <f t="shared" si="5"/>
        <v>4280000</v>
      </c>
    </row>
    <row r="20" spans="1:11" ht="12.75">
      <c r="A20" s="723"/>
      <c r="B20" s="717" t="s">
        <v>698</v>
      </c>
      <c r="C20" s="557"/>
      <c r="D20" s="715"/>
      <c r="E20" s="715"/>
      <c r="F20" s="715"/>
      <c r="G20" s="733"/>
      <c r="H20" s="733">
        <v>500000</v>
      </c>
      <c r="I20" s="733"/>
      <c r="J20" s="733">
        <f t="shared" si="4"/>
        <v>500000</v>
      </c>
      <c r="K20" s="734">
        <f t="shared" si="5"/>
        <v>500000</v>
      </c>
    </row>
    <row r="21" spans="1:11" ht="12.75">
      <c r="A21" s="723"/>
      <c r="B21" s="563" t="s">
        <v>716</v>
      </c>
      <c r="C21" s="557"/>
      <c r="D21" s="715"/>
      <c r="E21" s="715"/>
      <c r="F21" s="715"/>
      <c r="G21" s="733"/>
      <c r="H21" s="733">
        <v>18097000</v>
      </c>
      <c r="I21" s="733"/>
      <c r="J21" s="733">
        <f t="shared" si="4"/>
        <v>18097000</v>
      </c>
      <c r="K21" s="734">
        <f t="shared" si="5"/>
        <v>18097000</v>
      </c>
    </row>
    <row r="22" spans="1:11" ht="12.75">
      <c r="A22" s="723"/>
      <c r="B22" s="563" t="s">
        <v>683</v>
      </c>
      <c r="C22" s="557"/>
      <c r="D22" s="715"/>
      <c r="E22" s="715"/>
      <c r="F22" s="715"/>
      <c r="G22" s="733"/>
      <c r="H22" s="733">
        <v>22300000</v>
      </c>
      <c r="I22" s="733"/>
      <c r="J22" s="733">
        <f t="shared" si="4"/>
        <v>22300000</v>
      </c>
      <c r="K22" s="734">
        <f t="shared" si="5"/>
        <v>22300000</v>
      </c>
    </row>
    <row r="23" spans="1:11" ht="12.75">
      <c r="A23" s="723"/>
      <c r="B23" s="547" t="s">
        <v>680</v>
      </c>
      <c r="C23" s="557"/>
      <c r="D23" s="557"/>
      <c r="E23" s="557"/>
      <c r="F23" s="557"/>
      <c r="G23" s="549"/>
      <c r="H23" s="549">
        <f>H24+H25+H26+H27+H28</f>
        <v>54507000</v>
      </c>
      <c r="I23" s="733"/>
      <c r="J23" s="733">
        <f t="shared" si="4"/>
        <v>54507000</v>
      </c>
      <c r="K23" s="734">
        <f t="shared" si="5"/>
        <v>54507000</v>
      </c>
    </row>
    <row r="24" spans="1:11" ht="12.75">
      <c r="A24" s="724"/>
      <c r="B24" s="563" t="s">
        <v>686</v>
      </c>
      <c r="C24" s="557"/>
      <c r="D24" s="715"/>
      <c r="E24" s="715"/>
      <c r="F24" s="715"/>
      <c r="G24" s="733"/>
      <c r="H24" s="733">
        <v>48225000</v>
      </c>
      <c r="I24" s="733"/>
      <c r="J24" s="733">
        <f t="shared" si="4"/>
        <v>48225000</v>
      </c>
      <c r="K24" s="734">
        <f t="shared" si="5"/>
        <v>48225000</v>
      </c>
    </row>
    <row r="25" spans="1:11" ht="12.75">
      <c r="A25" s="723"/>
      <c r="B25" s="563" t="s">
        <v>684</v>
      </c>
      <c r="C25" s="557"/>
      <c r="D25" s="715"/>
      <c r="E25" s="715"/>
      <c r="F25" s="715"/>
      <c r="G25" s="733"/>
      <c r="H25" s="733">
        <v>1356000</v>
      </c>
      <c r="I25" s="733"/>
      <c r="J25" s="733">
        <f t="shared" si="4"/>
        <v>1356000</v>
      </c>
      <c r="K25" s="734">
        <f t="shared" si="5"/>
        <v>1356000</v>
      </c>
    </row>
    <row r="26" spans="1:11" ht="22.5">
      <c r="A26" s="723"/>
      <c r="B26" s="717" t="s">
        <v>691</v>
      </c>
      <c r="C26" s="557"/>
      <c r="D26" s="715"/>
      <c r="E26" s="715"/>
      <c r="F26" s="715"/>
      <c r="G26" s="733"/>
      <c r="H26" s="733">
        <f>4777000-371000</f>
        <v>4406000</v>
      </c>
      <c r="I26" s="733"/>
      <c r="J26" s="733">
        <f t="shared" si="4"/>
        <v>4406000</v>
      </c>
      <c r="K26" s="734">
        <f t="shared" si="5"/>
        <v>4406000</v>
      </c>
    </row>
    <row r="27" spans="1:11" ht="12.75">
      <c r="A27" s="723"/>
      <c r="B27" s="717" t="s">
        <v>697</v>
      </c>
      <c r="C27" s="557"/>
      <c r="D27" s="715"/>
      <c r="E27" s="715"/>
      <c r="F27" s="715"/>
      <c r="G27" s="733"/>
      <c r="H27" s="733">
        <v>520000</v>
      </c>
      <c r="I27" s="733"/>
      <c r="J27" s="733">
        <f t="shared" si="4"/>
        <v>520000</v>
      </c>
      <c r="K27" s="734">
        <f t="shared" si="5"/>
        <v>520000</v>
      </c>
    </row>
    <row r="28" spans="1:11" ht="12.75">
      <c r="A28" s="723"/>
      <c r="B28" s="717" t="s">
        <v>698</v>
      </c>
      <c r="C28" s="557"/>
      <c r="D28" s="715"/>
      <c r="E28" s="715"/>
      <c r="F28" s="715"/>
      <c r="G28" s="733"/>
      <c r="H28" s="733"/>
      <c r="I28" s="733"/>
      <c r="J28" s="733">
        <f t="shared" si="4"/>
        <v>0</v>
      </c>
      <c r="K28" s="734">
        <f t="shared" si="5"/>
        <v>0</v>
      </c>
    </row>
    <row r="29" spans="1:11" ht="12.75">
      <c r="A29" s="725"/>
      <c r="B29" s="547" t="s">
        <v>547</v>
      </c>
      <c r="C29" s="557"/>
      <c r="D29" s="557"/>
      <c r="E29" s="557"/>
      <c r="F29" s="557"/>
      <c r="G29" s="549"/>
      <c r="H29" s="549">
        <f>H30+H31</f>
        <v>6381000</v>
      </c>
      <c r="I29" s="549">
        <f>I30+I31</f>
        <v>0</v>
      </c>
      <c r="J29" s="549">
        <f>J30+J31</f>
        <v>6381000</v>
      </c>
      <c r="K29" s="734">
        <f t="shared" si="5"/>
        <v>6381000</v>
      </c>
    </row>
    <row r="30" spans="1:11" ht="12.75">
      <c r="A30" s="725"/>
      <c r="B30" s="563" t="s">
        <v>685</v>
      </c>
      <c r="C30" s="557"/>
      <c r="D30" s="715"/>
      <c r="E30" s="715"/>
      <c r="F30" s="715"/>
      <c r="G30" s="733"/>
      <c r="H30" s="733">
        <v>6010000</v>
      </c>
      <c r="I30" s="733"/>
      <c r="J30" s="733">
        <f>G30+H30+I30</f>
        <v>6010000</v>
      </c>
      <c r="K30" s="734">
        <f t="shared" si="5"/>
        <v>6010000</v>
      </c>
    </row>
    <row r="31" spans="1:11" ht="12.75">
      <c r="A31" s="725"/>
      <c r="B31" s="563" t="s">
        <v>648</v>
      </c>
      <c r="C31" s="557"/>
      <c r="D31" s="715"/>
      <c r="E31" s="715"/>
      <c r="F31" s="715"/>
      <c r="G31" s="733"/>
      <c r="H31" s="733">
        <v>371000</v>
      </c>
      <c r="I31" s="733"/>
      <c r="J31" s="733">
        <f>G31+H31+I31</f>
        <v>371000</v>
      </c>
      <c r="K31" s="734">
        <f t="shared" si="5"/>
        <v>371000</v>
      </c>
    </row>
    <row r="32" spans="1:11" ht="12.75">
      <c r="A32" s="540"/>
      <c r="B32" s="547" t="s">
        <v>351</v>
      </c>
      <c r="C32" s="557">
        <f>C13+C6+C4</f>
        <v>565585400</v>
      </c>
      <c r="D32" s="557">
        <f>D13+D6+D4</f>
        <v>39985400</v>
      </c>
      <c r="E32" s="557">
        <f>E13+E6+E4</f>
        <v>486600000</v>
      </c>
      <c r="F32" s="557">
        <f>F13+F6+F4</f>
        <v>39000000</v>
      </c>
      <c r="G32" s="549">
        <f>G13+G12+G6+G5+G4</f>
        <v>39985400</v>
      </c>
      <c r="H32" s="549">
        <f>H13+H12+H6+H5+H4</f>
        <v>531196000</v>
      </c>
      <c r="I32" s="549">
        <f>I13+I12+I6+I5+I4</f>
        <v>36120000</v>
      </c>
      <c r="J32" s="549">
        <f>J13+J12+J6+J5+J4</f>
        <v>607301400</v>
      </c>
      <c r="K32" s="549">
        <f>K13+K12+K6+K5+K4</f>
        <v>41716000</v>
      </c>
    </row>
    <row r="33" spans="1:11" ht="12.75">
      <c r="A33" s="540"/>
      <c r="B33" s="569"/>
      <c r="C33" s="738"/>
      <c r="D33" s="738"/>
      <c r="E33" s="738"/>
      <c r="F33" s="738"/>
      <c r="G33" s="743"/>
      <c r="H33" s="743"/>
      <c r="I33" s="743"/>
      <c r="J33" s="743"/>
      <c r="K33" s="730"/>
    </row>
    <row r="34" spans="1:11" ht="12.75">
      <c r="A34" s="540"/>
      <c r="B34" s="569"/>
      <c r="C34" s="738"/>
      <c r="D34" s="738"/>
      <c r="E34" s="738"/>
      <c r="F34" s="738"/>
      <c r="G34" s="743"/>
      <c r="H34" s="743"/>
      <c r="I34" s="743"/>
      <c r="J34" s="743"/>
      <c r="K34" s="730"/>
    </row>
    <row r="35" spans="1:11" ht="12.75">
      <c r="A35" s="540"/>
      <c r="B35" s="569"/>
      <c r="C35" s="738"/>
      <c r="D35" s="738"/>
      <c r="E35" s="738"/>
      <c r="F35" s="738"/>
      <c r="G35" s="743"/>
      <c r="H35" s="743"/>
      <c r="I35" s="743"/>
      <c r="J35" s="743"/>
      <c r="K35" s="730"/>
    </row>
    <row r="36" spans="1:11" ht="12.75">
      <c r="A36" s="540"/>
      <c r="B36" s="569"/>
      <c r="C36" s="738"/>
      <c r="D36" s="738"/>
      <c r="E36" s="738"/>
      <c r="F36" s="738"/>
      <c r="G36" s="743"/>
      <c r="H36" s="743"/>
      <c r="I36" s="743"/>
      <c r="J36" s="743"/>
      <c r="K36" s="730"/>
    </row>
    <row r="37" spans="1:11" ht="12.75">
      <c r="A37" s="540"/>
      <c r="B37" s="569"/>
      <c r="C37" s="738"/>
      <c r="D37" s="738"/>
      <c r="E37" s="738"/>
      <c r="F37" s="738"/>
      <c r="G37" s="743"/>
      <c r="H37" s="743"/>
      <c r="I37" s="743"/>
      <c r="J37" s="743"/>
      <c r="K37" s="730"/>
    </row>
    <row r="38" spans="1:11" ht="12.75">
      <c r="A38" s="540"/>
      <c r="B38" s="674"/>
      <c r="C38" s="738"/>
      <c r="D38" s="738"/>
      <c r="E38" s="738"/>
      <c r="F38" s="738"/>
      <c r="G38" s="727"/>
      <c r="H38" s="727"/>
      <c r="I38" s="727"/>
      <c r="J38" s="727"/>
      <c r="K38" s="727"/>
    </row>
    <row r="39" spans="1:11" ht="12.75">
      <c r="A39" s="718" t="s">
        <v>719</v>
      </c>
      <c r="B39" s="718"/>
      <c r="C39" s="742"/>
      <c r="D39" s="719" t="s">
        <v>726</v>
      </c>
      <c r="E39" s="697"/>
      <c r="F39" s="738"/>
      <c r="G39" s="727"/>
      <c r="H39" s="727"/>
      <c r="I39" s="727"/>
      <c r="J39" s="727"/>
      <c r="K39" s="727"/>
    </row>
    <row r="40" spans="1:11" ht="12.75">
      <c r="A40" s="716"/>
      <c r="B40" s="569"/>
      <c r="C40" s="697"/>
      <c r="D40" s="716"/>
      <c r="E40" s="716"/>
      <c r="F40" s="716"/>
      <c r="G40" s="763" t="s">
        <v>713</v>
      </c>
      <c r="H40" s="764"/>
      <c r="I40" s="764"/>
      <c r="J40" s="765"/>
      <c r="K40" s="727"/>
    </row>
    <row r="41" spans="1:11" ht="56.25">
      <c r="A41" s="736" t="s">
        <v>399</v>
      </c>
      <c r="B41" s="736" t="s">
        <v>400</v>
      </c>
      <c r="C41" s="563" t="s">
        <v>725</v>
      </c>
      <c r="D41" s="717" t="s">
        <v>710</v>
      </c>
      <c r="E41" s="717" t="s">
        <v>403</v>
      </c>
      <c r="F41" s="717" t="s">
        <v>404</v>
      </c>
      <c r="G41" s="741" t="s">
        <v>710</v>
      </c>
      <c r="H41" s="741" t="s">
        <v>403</v>
      </c>
      <c r="I41" s="575" t="s">
        <v>404</v>
      </c>
      <c r="J41" s="733" t="s">
        <v>720</v>
      </c>
      <c r="K41" s="731" t="s">
        <v>609</v>
      </c>
    </row>
    <row r="42" spans="1:12" ht="33.75">
      <c r="A42" s="573" t="s">
        <v>721</v>
      </c>
      <c r="B42" s="554" t="s">
        <v>598</v>
      </c>
      <c r="C42" s="557">
        <f>C43+C44</f>
        <v>410500000</v>
      </c>
      <c r="D42" s="557">
        <v>6200000</v>
      </c>
      <c r="E42" s="557">
        <f>E43+E44</f>
        <v>395100000</v>
      </c>
      <c r="F42" s="557">
        <f>F43+F44</f>
        <v>9200000</v>
      </c>
      <c r="G42" s="549">
        <v>6200000</v>
      </c>
      <c r="H42" s="549">
        <f>H24+H15</f>
        <v>411370000</v>
      </c>
      <c r="I42" s="549">
        <v>12000000</v>
      </c>
      <c r="J42" s="549">
        <f>G42+H42+I42</f>
        <v>429570000</v>
      </c>
      <c r="K42" s="734">
        <f>J42-C42</f>
        <v>19070000</v>
      </c>
      <c r="L42" s="9"/>
    </row>
    <row r="43" spans="1:12" ht="12.75">
      <c r="A43" s="547">
        <v>411000</v>
      </c>
      <c r="B43" s="554" t="s">
        <v>722</v>
      </c>
      <c r="C43" s="557">
        <v>343358700</v>
      </c>
      <c r="D43" s="557">
        <v>3936000</v>
      </c>
      <c r="E43" s="557">
        <v>330300000</v>
      </c>
      <c r="F43" s="557">
        <v>7800000</v>
      </c>
      <c r="G43" s="557">
        <v>5258700</v>
      </c>
      <c r="H43" s="557">
        <v>347320000</v>
      </c>
      <c r="I43" s="557">
        <f>I42*84.43/100</f>
        <v>10131600.000000002</v>
      </c>
      <c r="J43" s="557">
        <f>SUM(G43:I43)</f>
        <v>362710300</v>
      </c>
      <c r="K43" s="734">
        <f>J43-C43</f>
        <v>19351600</v>
      </c>
      <c r="L43" s="9"/>
    </row>
    <row r="44" spans="1:12" ht="12.75">
      <c r="A44" s="547">
        <v>412000</v>
      </c>
      <c r="B44" s="554" t="s">
        <v>409</v>
      </c>
      <c r="C44" s="557">
        <v>67141300</v>
      </c>
      <c r="D44" s="557">
        <f aca="true" t="shared" si="6" ref="D44:J44">D42-D43</f>
        <v>2264000</v>
      </c>
      <c r="E44" s="557">
        <v>64800000</v>
      </c>
      <c r="F44" s="557">
        <v>1400000</v>
      </c>
      <c r="G44" s="557">
        <v>941300</v>
      </c>
      <c r="H44" s="557">
        <f t="shared" si="6"/>
        <v>64050000</v>
      </c>
      <c r="I44" s="557">
        <f t="shared" si="6"/>
        <v>1868399.9999999981</v>
      </c>
      <c r="J44" s="557">
        <f t="shared" si="6"/>
        <v>66859700</v>
      </c>
      <c r="K44" s="734">
        <f>J44-C44</f>
        <v>-281600</v>
      </c>
      <c r="L44" s="9"/>
    </row>
    <row r="45" spans="1:12" ht="22.5">
      <c r="A45" s="547">
        <v>413000</v>
      </c>
      <c r="B45" s="559" t="s">
        <v>563</v>
      </c>
      <c r="C45" s="557">
        <f>D45+E45+F45</f>
        <v>1000000</v>
      </c>
      <c r="D45" s="732"/>
      <c r="E45" s="715"/>
      <c r="F45" s="715">
        <v>1000000</v>
      </c>
      <c r="G45" s="549"/>
      <c r="H45" s="549"/>
      <c r="I45" s="549">
        <v>1000000</v>
      </c>
      <c r="J45" s="549">
        <f>G45+H45+I45</f>
        <v>1000000</v>
      </c>
      <c r="K45" s="734">
        <f aca="true" t="shared" si="7" ref="K45:K79">J45-C45</f>
        <v>0</v>
      </c>
      <c r="L45" s="9"/>
    </row>
    <row r="46" spans="1:12" ht="33.75">
      <c r="A46" s="547">
        <v>414000</v>
      </c>
      <c r="B46" s="573" t="s">
        <v>706</v>
      </c>
      <c r="C46" s="557">
        <f>D46+E46+F46</f>
        <v>1000000</v>
      </c>
      <c r="D46" s="557"/>
      <c r="E46" s="557">
        <f>E20</f>
        <v>0</v>
      </c>
      <c r="F46" s="557">
        <v>1000000</v>
      </c>
      <c r="G46" s="549"/>
      <c r="H46" s="549">
        <v>500000</v>
      </c>
      <c r="I46" s="549"/>
      <c r="J46" s="549">
        <f>G46+H46+I46</f>
        <v>500000</v>
      </c>
      <c r="K46" s="734">
        <f t="shared" si="7"/>
        <v>-500000</v>
      </c>
      <c r="L46" s="9"/>
    </row>
    <row r="47" spans="1:12" ht="22.5">
      <c r="A47" s="547">
        <v>415000</v>
      </c>
      <c r="B47" s="559" t="s">
        <v>599</v>
      </c>
      <c r="C47" s="557"/>
      <c r="D47" s="557"/>
      <c r="E47" s="557">
        <f>E16+E25</f>
        <v>0</v>
      </c>
      <c r="F47" s="557"/>
      <c r="G47" s="549"/>
      <c r="H47" s="549">
        <f>H25+H16</f>
        <v>12142000</v>
      </c>
      <c r="I47" s="549">
        <v>2000000</v>
      </c>
      <c r="J47" s="549">
        <f>G47+H47+I47</f>
        <v>14142000</v>
      </c>
      <c r="K47" s="734">
        <f t="shared" si="7"/>
        <v>14142000</v>
      </c>
      <c r="L47" s="9"/>
    </row>
    <row r="48" spans="1:12" ht="22.5">
      <c r="A48" s="547">
        <v>416000</v>
      </c>
      <c r="B48" s="559" t="s">
        <v>605</v>
      </c>
      <c r="C48" s="557">
        <f>D48+E48+F48</f>
        <v>6000000</v>
      </c>
      <c r="D48" s="557"/>
      <c r="E48" s="557">
        <v>6000000</v>
      </c>
      <c r="F48" s="557"/>
      <c r="G48" s="549"/>
      <c r="H48" s="549">
        <v>4800000</v>
      </c>
      <c r="I48" s="549"/>
      <c r="J48" s="549">
        <f>G48+H48+I48</f>
        <v>4800000</v>
      </c>
      <c r="K48" s="734">
        <f t="shared" si="7"/>
        <v>-1200000</v>
      </c>
      <c r="L48" s="9"/>
    </row>
    <row r="49" spans="1:12" ht="12.75">
      <c r="A49" s="547">
        <v>421000</v>
      </c>
      <c r="B49" s="559" t="s">
        <v>413</v>
      </c>
      <c r="C49" s="557">
        <f>E49+F49</f>
        <v>25500000</v>
      </c>
      <c r="D49" s="557">
        <f>D50+D51+D52+D53+D54</f>
        <v>0</v>
      </c>
      <c r="E49" s="557">
        <v>24000000</v>
      </c>
      <c r="F49" s="557">
        <v>1500000</v>
      </c>
      <c r="G49" s="734"/>
      <c r="H49" s="734">
        <f>H50+H51+H52+H53+H54</f>
        <v>22800000</v>
      </c>
      <c r="I49" s="734">
        <f>I50+I51+I52+I53+I54</f>
        <v>1900000</v>
      </c>
      <c r="J49" s="734">
        <f>J50+J51+J52+J53+J54</f>
        <v>24700000</v>
      </c>
      <c r="K49" s="734">
        <f t="shared" si="7"/>
        <v>-800000</v>
      </c>
      <c r="L49" s="9"/>
    </row>
    <row r="50" spans="1:12" ht="12.75">
      <c r="A50" s="563">
        <v>4211</v>
      </c>
      <c r="B50" s="551" t="s">
        <v>101</v>
      </c>
      <c r="C50" s="557">
        <f aca="true" t="shared" si="8" ref="C50:C56">D50+E50+F50</f>
        <v>0</v>
      </c>
      <c r="D50" s="732"/>
      <c r="E50" s="715"/>
      <c r="F50" s="715"/>
      <c r="G50" s="734"/>
      <c r="H50" s="734">
        <v>700000</v>
      </c>
      <c r="I50" s="734">
        <v>200000</v>
      </c>
      <c r="J50" s="549">
        <f aca="true" t="shared" si="9" ref="J50:J56">G50+H50+I50</f>
        <v>900000</v>
      </c>
      <c r="K50" s="734">
        <f t="shared" si="7"/>
        <v>900000</v>
      </c>
      <c r="L50" s="9"/>
    </row>
    <row r="51" spans="1:12" ht="12.75">
      <c r="A51" s="563">
        <v>4212</v>
      </c>
      <c r="B51" s="551" t="s">
        <v>102</v>
      </c>
      <c r="C51" s="557">
        <f t="shared" si="8"/>
        <v>0</v>
      </c>
      <c r="D51" s="732"/>
      <c r="E51" s="715"/>
      <c r="F51" s="715"/>
      <c r="G51" s="734"/>
      <c r="H51" s="734">
        <v>16000000</v>
      </c>
      <c r="I51" s="734">
        <v>200000</v>
      </c>
      <c r="J51" s="549">
        <f t="shared" si="9"/>
        <v>16200000</v>
      </c>
      <c r="K51" s="734">
        <f t="shared" si="7"/>
        <v>16200000</v>
      </c>
      <c r="L51" s="9"/>
    </row>
    <row r="52" spans="1:12" ht="12.75">
      <c r="A52" s="563">
        <v>4213</v>
      </c>
      <c r="B52" s="551" t="s">
        <v>103</v>
      </c>
      <c r="C52" s="557">
        <f t="shared" si="8"/>
        <v>0</v>
      </c>
      <c r="D52" s="732"/>
      <c r="E52" s="715"/>
      <c r="F52" s="715"/>
      <c r="G52" s="734"/>
      <c r="H52" s="734">
        <f>2400000/8*11</f>
        <v>3300000</v>
      </c>
      <c r="I52" s="734">
        <v>300000</v>
      </c>
      <c r="J52" s="549">
        <f t="shared" si="9"/>
        <v>3600000</v>
      </c>
      <c r="K52" s="734">
        <f t="shared" si="7"/>
        <v>3600000</v>
      </c>
      <c r="L52" s="9"/>
    </row>
    <row r="53" spans="1:12" ht="12.75">
      <c r="A53" s="563">
        <v>4214</v>
      </c>
      <c r="B53" s="551" t="s">
        <v>104</v>
      </c>
      <c r="C53" s="557">
        <f t="shared" si="8"/>
        <v>0</v>
      </c>
      <c r="D53" s="732"/>
      <c r="E53" s="715"/>
      <c r="F53" s="715"/>
      <c r="G53" s="734"/>
      <c r="H53" s="734">
        <v>1000000</v>
      </c>
      <c r="I53" s="734">
        <v>1200000</v>
      </c>
      <c r="J53" s="549">
        <f t="shared" si="9"/>
        <v>2200000</v>
      </c>
      <c r="K53" s="734">
        <f t="shared" si="7"/>
        <v>2200000</v>
      </c>
      <c r="L53" s="9"/>
    </row>
    <row r="54" spans="1:12" ht="12.75">
      <c r="A54" s="563">
        <v>4215</v>
      </c>
      <c r="B54" s="551" t="s">
        <v>169</v>
      </c>
      <c r="C54" s="557">
        <f t="shared" si="8"/>
        <v>0</v>
      </c>
      <c r="D54" s="732"/>
      <c r="E54" s="715"/>
      <c r="F54" s="715"/>
      <c r="G54" s="734"/>
      <c r="H54" s="734">
        <v>1800000</v>
      </c>
      <c r="I54" s="734"/>
      <c r="J54" s="549">
        <f t="shared" si="9"/>
        <v>1800000</v>
      </c>
      <c r="K54" s="734">
        <f t="shared" si="7"/>
        <v>1800000</v>
      </c>
      <c r="L54" s="9"/>
    </row>
    <row r="55" spans="1:12" ht="12.75">
      <c r="A55" s="563">
        <v>4216</v>
      </c>
      <c r="B55" s="551" t="s">
        <v>695</v>
      </c>
      <c r="C55" s="557">
        <f t="shared" si="8"/>
        <v>0</v>
      </c>
      <c r="D55" s="732"/>
      <c r="E55" s="715"/>
      <c r="F55" s="715"/>
      <c r="G55" s="734"/>
      <c r="H55" s="734"/>
      <c r="I55" s="734"/>
      <c r="J55" s="549">
        <f t="shared" si="9"/>
        <v>0</v>
      </c>
      <c r="K55" s="734">
        <f t="shared" si="7"/>
        <v>0</v>
      </c>
      <c r="L55" s="9"/>
    </row>
    <row r="56" spans="1:12" ht="12.75">
      <c r="A56" s="547">
        <v>422000</v>
      </c>
      <c r="B56" s="554" t="s">
        <v>414</v>
      </c>
      <c r="C56" s="557">
        <f t="shared" si="8"/>
        <v>600000</v>
      </c>
      <c r="D56" s="732"/>
      <c r="E56" s="715"/>
      <c r="F56" s="715">
        <v>600000</v>
      </c>
      <c r="G56" s="549"/>
      <c r="H56" s="549"/>
      <c r="I56" s="549">
        <v>600000</v>
      </c>
      <c r="J56" s="549">
        <f t="shared" si="9"/>
        <v>600000</v>
      </c>
      <c r="K56" s="734">
        <f t="shared" si="7"/>
        <v>0</v>
      </c>
      <c r="L56" s="9"/>
    </row>
    <row r="57" spans="1:12" ht="12" customHeight="1">
      <c r="A57" s="547">
        <v>423000</v>
      </c>
      <c r="B57" s="554" t="s">
        <v>415</v>
      </c>
      <c r="C57" s="557">
        <v>15000000</v>
      </c>
      <c r="D57" s="557">
        <f>D58+D59+D60+D61+D62+D63+D64</f>
        <v>0</v>
      </c>
      <c r="E57" s="557">
        <v>10000000</v>
      </c>
      <c r="F57" s="557">
        <v>5000000</v>
      </c>
      <c r="G57" s="549"/>
      <c r="H57" s="549">
        <f>H58+H59+H60+H61+H62+H63+H64</f>
        <v>11560000</v>
      </c>
      <c r="I57" s="549">
        <f>I58+I59+I60+I61+I62+I63+I64</f>
        <v>4800000</v>
      </c>
      <c r="J57" s="549">
        <f>J58+J59+J60+J61+J62+J63+J64</f>
        <v>16360000</v>
      </c>
      <c r="K57" s="734">
        <f t="shared" si="7"/>
        <v>1360000</v>
      </c>
      <c r="L57" s="9"/>
    </row>
    <row r="58" spans="1:12" ht="12.75">
      <c r="A58" s="563">
        <v>4232</v>
      </c>
      <c r="B58" s="551" t="s">
        <v>106</v>
      </c>
      <c r="C58" s="557"/>
      <c r="D58" s="732"/>
      <c r="E58" s="715"/>
      <c r="F58" s="715"/>
      <c r="G58" s="734"/>
      <c r="H58" s="734">
        <v>50000</v>
      </c>
      <c r="I58" s="734">
        <v>700000</v>
      </c>
      <c r="J58" s="549">
        <f aca="true" t="shared" si="10" ref="J58:J64">G58+H58+I58</f>
        <v>750000</v>
      </c>
      <c r="K58" s="734">
        <f t="shared" si="7"/>
        <v>750000</v>
      </c>
      <c r="L58" s="9"/>
    </row>
    <row r="59" spans="1:12" ht="12.75">
      <c r="A59" s="563">
        <v>4233</v>
      </c>
      <c r="B59" s="551" t="s">
        <v>107</v>
      </c>
      <c r="C59" s="557"/>
      <c r="D59" s="732"/>
      <c r="E59" s="715"/>
      <c r="F59" s="715"/>
      <c r="G59" s="734"/>
      <c r="H59" s="734"/>
      <c r="I59" s="734">
        <v>1400000</v>
      </c>
      <c r="J59" s="549">
        <f t="shared" si="10"/>
        <v>1400000</v>
      </c>
      <c r="K59" s="734">
        <f t="shared" si="7"/>
        <v>1400000</v>
      </c>
      <c r="L59" s="9"/>
    </row>
    <row r="60" spans="1:12" ht="12.75">
      <c r="A60" s="563">
        <v>4234</v>
      </c>
      <c r="B60" s="551" t="s">
        <v>108</v>
      </c>
      <c r="C60" s="557"/>
      <c r="D60" s="732"/>
      <c r="E60" s="715"/>
      <c r="F60" s="715"/>
      <c r="G60" s="734"/>
      <c r="H60" s="734">
        <v>10000</v>
      </c>
      <c r="I60" s="734">
        <v>500000</v>
      </c>
      <c r="J60" s="549">
        <f t="shared" si="10"/>
        <v>510000</v>
      </c>
      <c r="K60" s="734">
        <f t="shared" si="7"/>
        <v>510000</v>
      </c>
      <c r="L60" s="9"/>
    </row>
    <row r="61" spans="1:12" ht="12.75">
      <c r="A61" s="563">
        <v>4235</v>
      </c>
      <c r="B61" s="551" t="s">
        <v>689</v>
      </c>
      <c r="C61" s="557"/>
      <c r="D61" s="732"/>
      <c r="E61" s="715"/>
      <c r="F61" s="715"/>
      <c r="G61" s="734"/>
      <c r="H61" s="734">
        <f>6000000/8*12</f>
        <v>9000000</v>
      </c>
      <c r="I61" s="734">
        <v>1500000</v>
      </c>
      <c r="J61" s="549">
        <f t="shared" si="10"/>
        <v>10500000</v>
      </c>
      <c r="K61" s="734">
        <f t="shared" si="7"/>
        <v>10500000</v>
      </c>
      <c r="L61" s="9"/>
    </row>
    <row r="62" spans="1:12" ht="12.75">
      <c r="A62" s="563">
        <v>4236</v>
      </c>
      <c r="B62" s="551" t="s">
        <v>696</v>
      </c>
      <c r="C62" s="557"/>
      <c r="D62" s="732"/>
      <c r="E62" s="715"/>
      <c r="F62" s="715"/>
      <c r="G62" s="734"/>
      <c r="H62" s="734">
        <v>1100000</v>
      </c>
      <c r="I62" s="734"/>
      <c r="J62" s="549">
        <f t="shared" si="10"/>
        <v>1100000</v>
      </c>
      <c r="K62" s="734">
        <f t="shared" si="7"/>
        <v>1100000</v>
      </c>
      <c r="L62" s="9"/>
    </row>
    <row r="63" spans="1:12" ht="12.75">
      <c r="A63" s="563">
        <v>4237</v>
      </c>
      <c r="B63" s="551" t="s">
        <v>47</v>
      </c>
      <c r="C63" s="557"/>
      <c r="D63" s="732"/>
      <c r="E63" s="715"/>
      <c r="F63" s="715"/>
      <c r="G63" s="734"/>
      <c r="H63" s="734"/>
      <c r="I63" s="734">
        <v>500000</v>
      </c>
      <c r="J63" s="549">
        <f t="shared" si="10"/>
        <v>500000</v>
      </c>
      <c r="K63" s="734">
        <f t="shared" si="7"/>
        <v>500000</v>
      </c>
      <c r="L63" s="9"/>
    </row>
    <row r="64" spans="1:12" ht="12.75">
      <c r="A64" s="563">
        <v>4239</v>
      </c>
      <c r="B64" s="695" t="s">
        <v>48</v>
      </c>
      <c r="C64" s="557"/>
      <c r="D64" s="732"/>
      <c r="E64" s="715"/>
      <c r="F64" s="715"/>
      <c r="G64" s="734"/>
      <c r="H64" s="734">
        <v>1400000</v>
      </c>
      <c r="I64" s="734">
        <v>200000</v>
      </c>
      <c r="J64" s="549">
        <f t="shared" si="10"/>
        <v>1600000</v>
      </c>
      <c r="K64" s="734">
        <f t="shared" si="7"/>
        <v>1600000</v>
      </c>
      <c r="L64" s="9"/>
    </row>
    <row r="65" spans="1:12" ht="12.75">
      <c r="A65" s="547">
        <v>424000</v>
      </c>
      <c r="B65" s="554" t="s">
        <v>416</v>
      </c>
      <c r="C65" s="557">
        <v>1500000</v>
      </c>
      <c r="D65" s="557">
        <f>D66</f>
        <v>0</v>
      </c>
      <c r="E65" s="557">
        <v>500000</v>
      </c>
      <c r="F65" s="557">
        <v>1000000</v>
      </c>
      <c r="G65" s="549"/>
      <c r="H65" s="549">
        <f>H66+H67</f>
        <v>500000</v>
      </c>
      <c r="I65" s="549">
        <f>I66+I67</f>
        <v>1600000</v>
      </c>
      <c r="J65" s="549">
        <f>J66+J67</f>
        <v>2100000</v>
      </c>
      <c r="K65" s="734">
        <f t="shared" si="7"/>
        <v>600000</v>
      </c>
      <c r="L65" s="9"/>
    </row>
    <row r="66" spans="1:12" ht="12.75">
      <c r="A66" s="563">
        <v>4243</v>
      </c>
      <c r="B66" s="551" t="s">
        <v>704</v>
      </c>
      <c r="C66" s="557"/>
      <c r="D66" s="732"/>
      <c r="E66" s="715"/>
      <c r="F66" s="715"/>
      <c r="G66" s="734"/>
      <c r="H66" s="734">
        <v>300000</v>
      </c>
      <c r="I66" s="734">
        <v>1600000</v>
      </c>
      <c r="J66" s="549">
        <f>G66+H66+I66</f>
        <v>1900000</v>
      </c>
      <c r="K66" s="734">
        <f t="shared" si="7"/>
        <v>1900000</v>
      </c>
      <c r="L66" s="9"/>
    </row>
    <row r="67" spans="1:12" ht="12.75">
      <c r="A67" s="563">
        <v>4249</v>
      </c>
      <c r="B67" s="551" t="s">
        <v>485</v>
      </c>
      <c r="C67" s="557"/>
      <c r="D67" s="732"/>
      <c r="E67" s="715"/>
      <c r="F67" s="715"/>
      <c r="G67" s="734"/>
      <c r="H67" s="734">
        <v>200000</v>
      </c>
      <c r="I67" s="734"/>
      <c r="J67" s="549">
        <f>G67+H67+I67</f>
        <v>200000</v>
      </c>
      <c r="K67" s="734">
        <f t="shared" si="7"/>
        <v>200000</v>
      </c>
      <c r="L67" s="9"/>
    </row>
    <row r="68" spans="1:12" ht="12.75">
      <c r="A68" s="547">
        <v>425000</v>
      </c>
      <c r="B68" s="554" t="s">
        <v>417</v>
      </c>
      <c r="C68" s="557">
        <v>14121800</v>
      </c>
      <c r="D68" s="557">
        <v>8121800</v>
      </c>
      <c r="E68" s="557">
        <v>3000000</v>
      </c>
      <c r="F68" s="557">
        <v>3000000</v>
      </c>
      <c r="G68" s="549">
        <v>8121800</v>
      </c>
      <c r="H68" s="549">
        <f>H69+H70</f>
        <v>5500000</v>
      </c>
      <c r="I68" s="549">
        <f>I69+I70</f>
        <v>1800000</v>
      </c>
      <c r="J68" s="549">
        <f>G68+H68+I68</f>
        <v>15421800</v>
      </c>
      <c r="K68" s="734">
        <f t="shared" si="7"/>
        <v>1300000</v>
      </c>
      <c r="L68" s="9"/>
    </row>
    <row r="69" spans="1:12" ht="22.5">
      <c r="A69" s="563">
        <v>4251</v>
      </c>
      <c r="B69" s="695" t="s">
        <v>705</v>
      </c>
      <c r="C69" s="557"/>
      <c r="D69" s="732"/>
      <c r="E69" s="715"/>
      <c r="F69" s="715"/>
      <c r="G69" s="734"/>
      <c r="H69" s="734">
        <v>3500000</v>
      </c>
      <c r="I69" s="734">
        <v>1500000</v>
      </c>
      <c r="J69" s="549">
        <f>G69+H69+I69</f>
        <v>5000000</v>
      </c>
      <c r="K69" s="734">
        <f t="shared" si="7"/>
        <v>5000000</v>
      </c>
      <c r="L69" s="9"/>
    </row>
    <row r="70" spans="1:12" ht="12.75">
      <c r="A70" s="563">
        <v>4252</v>
      </c>
      <c r="B70" s="551" t="s">
        <v>113</v>
      </c>
      <c r="C70" s="557"/>
      <c r="D70" s="732"/>
      <c r="E70" s="715"/>
      <c r="F70" s="715"/>
      <c r="G70" s="734"/>
      <c r="H70" s="734">
        <v>2000000</v>
      </c>
      <c r="I70" s="734">
        <v>300000</v>
      </c>
      <c r="J70" s="549">
        <f>G70+H70+I70</f>
        <v>2300000</v>
      </c>
      <c r="K70" s="734">
        <f t="shared" si="7"/>
        <v>2300000</v>
      </c>
      <c r="L70" s="9"/>
    </row>
    <row r="71" spans="1:12" ht="12.75">
      <c r="A71" s="547">
        <v>426000</v>
      </c>
      <c r="B71" s="554" t="s">
        <v>418</v>
      </c>
      <c r="C71" s="557">
        <v>50000000</v>
      </c>
      <c r="D71" s="557">
        <f>D72+D73+D74+D76+D80+D81</f>
        <v>0</v>
      </c>
      <c r="E71" s="557">
        <v>48000000</v>
      </c>
      <c r="F71" s="557">
        <v>2000000</v>
      </c>
      <c r="G71" s="549"/>
      <c r="H71" s="549">
        <f>H72+H73+H74+H80+H81+H76</f>
        <v>61824000</v>
      </c>
      <c r="I71" s="549">
        <f>I72+I73+I74+I80+I81+I76</f>
        <v>1630000</v>
      </c>
      <c r="J71" s="549">
        <f>J72+J73+J74+J80+J81+J76</f>
        <v>63454000</v>
      </c>
      <c r="K71" s="734">
        <f t="shared" si="7"/>
        <v>13454000</v>
      </c>
      <c r="L71" s="9"/>
    </row>
    <row r="72" spans="1:12" ht="12.75">
      <c r="A72" s="563">
        <v>4261</v>
      </c>
      <c r="B72" s="551" t="s">
        <v>114</v>
      </c>
      <c r="C72" s="557"/>
      <c r="D72" s="732"/>
      <c r="E72" s="715"/>
      <c r="F72" s="715"/>
      <c r="G72" s="734"/>
      <c r="H72" s="734">
        <v>5000000</v>
      </c>
      <c r="I72" s="734">
        <v>200000</v>
      </c>
      <c r="J72" s="549">
        <f>G72+H72+I72</f>
        <v>5200000</v>
      </c>
      <c r="K72" s="734">
        <f t="shared" si="7"/>
        <v>5200000</v>
      </c>
      <c r="L72" s="9"/>
    </row>
    <row r="73" spans="1:12" ht="12.75">
      <c r="A73" s="563">
        <v>4263</v>
      </c>
      <c r="B73" s="551" t="s">
        <v>115</v>
      </c>
      <c r="C73" s="557"/>
      <c r="D73" s="732"/>
      <c r="E73" s="715"/>
      <c r="F73" s="715"/>
      <c r="G73" s="734"/>
      <c r="H73" s="734"/>
      <c r="I73" s="734">
        <v>580000</v>
      </c>
      <c r="J73" s="549">
        <f>G73+H73+I73</f>
        <v>580000</v>
      </c>
      <c r="K73" s="734">
        <f t="shared" si="7"/>
        <v>580000</v>
      </c>
      <c r="L73" s="9"/>
    </row>
    <row r="74" spans="1:12" ht="12.75">
      <c r="A74" s="563">
        <v>4264</v>
      </c>
      <c r="B74" s="551" t="s">
        <v>419</v>
      </c>
      <c r="C74" s="557"/>
      <c r="D74" s="732"/>
      <c r="E74" s="715"/>
      <c r="F74" s="715"/>
      <c r="G74" s="734"/>
      <c r="H74" s="734">
        <f>27000000-J51</f>
        <v>10800000</v>
      </c>
      <c r="I74" s="734"/>
      <c r="J74" s="549">
        <f>G74+H74+I74</f>
        <v>10800000</v>
      </c>
      <c r="K74" s="734">
        <f t="shared" si="7"/>
        <v>10800000</v>
      </c>
      <c r="L74" s="9"/>
    </row>
    <row r="75" spans="1:12" ht="56.25">
      <c r="A75" s="736" t="s">
        <v>399</v>
      </c>
      <c r="B75" s="736" t="s">
        <v>400</v>
      </c>
      <c r="C75" s="563" t="s">
        <v>725</v>
      </c>
      <c r="D75" s="717" t="s">
        <v>710</v>
      </c>
      <c r="E75" s="717" t="s">
        <v>403</v>
      </c>
      <c r="F75" s="717" t="s">
        <v>404</v>
      </c>
      <c r="G75" s="741" t="s">
        <v>710</v>
      </c>
      <c r="H75" s="741" t="s">
        <v>403</v>
      </c>
      <c r="I75" s="575" t="s">
        <v>404</v>
      </c>
      <c r="J75" s="733" t="s">
        <v>720</v>
      </c>
      <c r="K75" s="731" t="s">
        <v>609</v>
      </c>
      <c r="L75" s="9"/>
    </row>
    <row r="76" spans="1:12" ht="12.75">
      <c r="A76" s="563">
        <v>4267</v>
      </c>
      <c r="B76" s="554" t="s">
        <v>688</v>
      </c>
      <c r="C76" s="557"/>
      <c r="D76" s="557"/>
      <c r="E76" s="557"/>
      <c r="F76" s="557"/>
      <c r="G76" s="549"/>
      <c r="H76" s="549">
        <f>H77+H78+H79</f>
        <v>43397000</v>
      </c>
      <c r="I76" s="549">
        <f>I77+I78+I79</f>
        <v>200000</v>
      </c>
      <c r="J76" s="549">
        <f>J77+J78+J79</f>
        <v>43597000</v>
      </c>
      <c r="K76" s="734">
        <f t="shared" si="7"/>
        <v>43597000</v>
      </c>
      <c r="L76" s="9"/>
    </row>
    <row r="77" spans="1:12" ht="12.75">
      <c r="A77" s="563">
        <v>426711</v>
      </c>
      <c r="B77" s="695" t="s">
        <v>718</v>
      </c>
      <c r="C77" s="557"/>
      <c r="D77" s="732"/>
      <c r="E77" s="715"/>
      <c r="F77" s="715"/>
      <c r="G77" s="734"/>
      <c r="H77" s="734">
        <v>22300000</v>
      </c>
      <c r="I77" s="734">
        <v>200000</v>
      </c>
      <c r="J77" s="549">
        <f aca="true" t="shared" si="11" ref="J77:J82">G77+H77+I77</f>
        <v>22500000</v>
      </c>
      <c r="K77" s="734">
        <f t="shared" si="7"/>
        <v>22500000</v>
      </c>
      <c r="L77" s="9"/>
    </row>
    <row r="78" spans="1:12" ht="12.75">
      <c r="A78" s="563">
        <v>4267113</v>
      </c>
      <c r="B78" s="551" t="s">
        <v>422</v>
      </c>
      <c r="C78" s="557"/>
      <c r="D78" s="732"/>
      <c r="E78" s="715"/>
      <c r="F78" s="715"/>
      <c r="G78" s="734"/>
      <c r="H78" s="734">
        <v>3000000</v>
      </c>
      <c r="I78" s="734"/>
      <c r="J78" s="549">
        <f t="shared" si="11"/>
        <v>3000000</v>
      </c>
      <c r="K78" s="734">
        <f t="shared" si="7"/>
        <v>3000000</v>
      </c>
      <c r="L78" s="9"/>
    </row>
    <row r="79" spans="1:12" ht="12.75">
      <c r="A79" s="716">
        <v>4267511</v>
      </c>
      <c r="B79" s="551" t="s">
        <v>421</v>
      </c>
      <c r="C79" s="557"/>
      <c r="D79" s="715"/>
      <c r="E79" s="715"/>
      <c r="F79" s="715"/>
      <c r="G79" s="734"/>
      <c r="H79" s="734">
        <v>18097000</v>
      </c>
      <c r="I79" s="734"/>
      <c r="J79" s="549">
        <f t="shared" si="11"/>
        <v>18097000</v>
      </c>
      <c r="K79" s="734">
        <f t="shared" si="7"/>
        <v>18097000</v>
      </c>
      <c r="L79" s="9"/>
    </row>
    <row r="80" spans="1:12" ht="12.75">
      <c r="A80" s="563">
        <v>4268</v>
      </c>
      <c r="B80" s="551" t="s">
        <v>118</v>
      </c>
      <c r="C80" s="557"/>
      <c r="D80" s="732"/>
      <c r="E80" s="715"/>
      <c r="F80" s="715"/>
      <c r="G80" s="734"/>
      <c r="H80" s="734">
        <v>1127000</v>
      </c>
      <c r="I80" s="734">
        <v>250000</v>
      </c>
      <c r="J80" s="557">
        <f t="shared" si="11"/>
        <v>1377000</v>
      </c>
      <c r="K80" s="734">
        <f>J80-C80</f>
        <v>1377000</v>
      </c>
      <c r="L80" s="9"/>
    </row>
    <row r="81" spans="1:12" ht="12.75">
      <c r="A81" s="563">
        <v>4269</v>
      </c>
      <c r="B81" s="551" t="s">
        <v>692</v>
      </c>
      <c r="C81" s="557"/>
      <c r="D81" s="732"/>
      <c r="E81" s="715"/>
      <c r="F81" s="715"/>
      <c r="G81" s="734"/>
      <c r="H81" s="734">
        <v>1500000</v>
      </c>
      <c r="I81" s="734">
        <v>400000</v>
      </c>
      <c r="J81" s="557">
        <f t="shared" si="11"/>
        <v>1900000</v>
      </c>
      <c r="K81" s="734">
        <f aca="true" t="shared" si="12" ref="K81:K91">J81-C81</f>
        <v>1900000</v>
      </c>
      <c r="L81" s="9"/>
    </row>
    <row r="82" spans="1:12" ht="12.75">
      <c r="A82" s="547">
        <v>430000</v>
      </c>
      <c r="B82" s="554" t="s">
        <v>423</v>
      </c>
      <c r="C82" s="557"/>
      <c r="D82" s="732"/>
      <c r="E82" s="715"/>
      <c r="F82" s="715"/>
      <c r="G82" s="549"/>
      <c r="H82" s="549"/>
      <c r="I82" s="549">
        <v>1170000</v>
      </c>
      <c r="J82" s="557">
        <f t="shared" si="11"/>
        <v>1170000</v>
      </c>
      <c r="K82" s="734">
        <f t="shared" si="12"/>
        <v>1170000</v>
      </c>
      <c r="L82" s="9"/>
    </row>
    <row r="83" spans="1:12" ht="22.5">
      <c r="A83" s="547">
        <v>440000</v>
      </c>
      <c r="B83" s="559" t="s">
        <v>424</v>
      </c>
      <c r="C83" s="557">
        <f aca="true" t="shared" si="13" ref="C83:C90">D83+E83+F83</f>
        <v>0</v>
      </c>
      <c r="D83" s="732"/>
      <c r="E83" s="715">
        <f>E84</f>
        <v>0</v>
      </c>
      <c r="F83" s="715">
        <f>F84</f>
        <v>0</v>
      </c>
      <c r="G83" s="549"/>
      <c r="H83" s="549">
        <f>H84</f>
        <v>0</v>
      </c>
      <c r="I83" s="549">
        <f>I84</f>
        <v>50000</v>
      </c>
      <c r="J83" s="549">
        <f>J84</f>
        <v>50000</v>
      </c>
      <c r="K83" s="734">
        <f t="shared" si="12"/>
        <v>50000</v>
      </c>
      <c r="L83" s="9"/>
    </row>
    <row r="84" spans="1:12" ht="12.75">
      <c r="A84" s="563">
        <v>4442</v>
      </c>
      <c r="B84" s="695" t="s">
        <v>699</v>
      </c>
      <c r="C84" s="557">
        <f t="shared" si="13"/>
        <v>0</v>
      </c>
      <c r="D84" s="732"/>
      <c r="E84" s="715"/>
      <c r="F84" s="715"/>
      <c r="G84" s="735"/>
      <c r="H84" s="734"/>
      <c r="I84" s="734">
        <v>50000</v>
      </c>
      <c r="J84" s="557">
        <f>G84+H84+I84</f>
        <v>50000</v>
      </c>
      <c r="K84" s="734">
        <f t="shared" si="12"/>
        <v>50000</v>
      </c>
      <c r="L84" s="9"/>
    </row>
    <row r="85" spans="1:12" ht="12.75">
      <c r="A85" s="547">
        <v>480000</v>
      </c>
      <c r="B85" s="559" t="s">
        <v>425</v>
      </c>
      <c r="C85" s="557"/>
      <c r="D85" s="732"/>
      <c r="E85" s="715"/>
      <c r="F85" s="715"/>
      <c r="G85" s="547"/>
      <c r="H85" s="549">
        <f>H86+H87+H88+H89+H90</f>
        <v>200000</v>
      </c>
      <c r="I85" s="549">
        <f>I86+I87+I88+I89+I90</f>
        <v>1900000</v>
      </c>
      <c r="J85" s="549">
        <f>J86+J87+J88+J89+J90</f>
        <v>2100000</v>
      </c>
      <c r="K85" s="734">
        <f t="shared" si="12"/>
        <v>2100000</v>
      </c>
      <c r="L85" s="9"/>
    </row>
    <row r="86" spans="1:12" ht="12.75">
      <c r="A86" s="563">
        <v>4821</v>
      </c>
      <c r="B86" s="551" t="s">
        <v>702</v>
      </c>
      <c r="C86" s="557"/>
      <c r="D86" s="732"/>
      <c r="E86" s="715"/>
      <c r="F86" s="715"/>
      <c r="G86" s="735"/>
      <c r="H86" s="734">
        <v>200000</v>
      </c>
      <c r="I86" s="734">
        <v>800000</v>
      </c>
      <c r="J86" s="557">
        <f>G86+H86+I86</f>
        <v>1000000</v>
      </c>
      <c r="K86" s="734">
        <f t="shared" si="12"/>
        <v>1000000</v>
      </c>
      <c r="L86" s="9"/>
    </row>
    <row r="87" spans="1:12" ht="12.75">
      <c r="A87" s="563">
        <v>4822</v>
      </c>
      <c r="B87" s="551" t="s">
        <v>703</v>
      </c>
      <c r="C87" s="557">
        <f t="shared" si="13"/>
        <v>0</v>
      </c>
      <c r="D87" s="732"/>
      <c r="E87" s="715"/>
      <c r="F87" s="715"/>
      <c r="G87" s="735"/>
      <c r="H87" s="734"/>
      <c r="I87" s="734">
        <v>100000</v>
      </c>
      <c r="J87" s="557">
        <f>G87+H87+I87</f>
        <v>100000</v>
      </c>
      <c r="K87" s="734">
        <f t="shared" si="12"/>
        <v>100000</v>
      </c>
      <c r="L87" s="9"/>
    </row>
    <row r="88" spans="1:12" ht="12.75">
      <c r="A88" s="563">
        <v>4823</v>
      </c>
      <c r="B88" s="551" t="s">
        <v>701</v>
      </c>
      <c r="C88" s="557">
        <f t="shared" si="13"/>
        <v>0</v>
      </c>
      <c r="D88" s="732"/>
      <c r="E88" s="715"/>
      <c r="F88" s="715"/>
      <c r="G88" s="735"/>
      <c r="H88" s="734"/>
      <c r="I88" s="734">
        <v>1000000</v>
      </c>
      <c r="J88" s="557">
        <f>G88+H88+I88</f>
        <v>1000000</v>
      </c>
      <c r="K88" s="734">
        <f t="shared" si="12"/>
        <v>1000000</v>
      </c>
      <c r="L88" s="9"/>
    </row>
    <row r="89" spans="1:12" ht="12.75">
      <c r="A89" s="563">
        <v>4831</v>
      </c>
      <c r="B89" s="551" t="s">
        <v>700</v>
      </c>
      <c r="C89" s="557">
        <f t="shared" si="13"/>
        <v>0</v>
      </c>
      <c r="D89" s="732"/>
      <c r="E89" s="715"/>
      <c r="F89" s="715"/>
      <c r="G89" s="735"/>
      <c r="H89" s="734"/>
      <c r="I89" s="734"/>
      <c r="J89" s="557">
        <f>G89+H89+I89</f>
        <v>0</v>
      </c>
      <c r="K89" s="734">
        <f t="shared" si="12"/>
        <v>0</v>
      </c>
      <c r="L89" s="9"/>
    </row>
    <row r="90" spans="1:12" ht="12.75">
      <c r="A90" s="563">
        <v>4851</v>
      </c>
      <c r="B90" s="551" t="s">
        <v>709</v>
      </c>
      <c r="C90" s="557">
        <f t="shared" si="13"/>
        <v>0</v>
      </c>
      <c r="D90" s="732"/>
      <c r="E90" s="715"/>
      <c r="F90" s="715"/>
      <c r="G90" s="735"/>
      <c r="H90" s="734"/>
      <c r="I90" s="734"/>
      <c r="J90" s="557">
        <f>G90+H90+I90</f>
        <v>0</v>
      </c>
      <c r="K90" s="734">
        <f t="shared" si="12"/>
        <v>0</v>
      </c>
      <c r="L90" s="9"/>
    </row>
    <row r="91" spans="1:12" ht="12.75">
      <c r="A91" s="547"/>
      <c r="B91" s="554" t="s">
        <v>727</v>
      </c>
      <c r="C91" s="557">
        <f>C42+C49+C56+C57+C65+C66+C68+C71+C45+C46+C48</f>
        <v>525221800</v>
      </c>
      <c r="D91" s="557">
        <f>D85+D83+D82+D71+D68+D65+D57+D56+D49+D48+D47+D46+D45+D42+D90</f>
        <v>14321800</v>
      </c>
      <c r="E91" s="557">
        <f>E85+E83+E82+E71+E68+E65+E57+E56+E49+E48+E47+E46+E45+E42+E90</f>
        <v>486600000</v>
      </c>
      <c r="F91" s="557">
        <f>F85+F83+F82+F71+F68+F65+F57+F56+F49+F48+F47+F46+F45+F42</f>
        <v>24300000</v>
      </c>
      <c r="G91" s="549">
        <f>G85+G83+G82+G71+G68+G65+G57+G56+G49+G48+G47+G46+G45+G42</f>
        <v>14321800</v>
      </c>
      <c r="H91" s="549">
        <f>H85+H83+H71+H68+H65+H57+H56+H49+H48+H47+H46+H45+H42</f>
        <v>531196000</v>
      </c>
      <c r="I91" s="549">
        <f>I85+I83+I71+I68+I65+I57+I56+I49+I48+I47+I46+I45+I42+I82</f>
        <v>30450000</v>
      </c>
      <c r="J91" s="549">
        <f>J85+J83+J71+J68+J65+J57+J56+J49+J48+J47+J46+J45+J42+J82</f>
        <v>575967800</v>
      </c>
      <c r="K91" s="734">
        <f t="shared" si="12"/>
        <v>50746000</v>
      </c>
      <c r="L91" s="9"/>
    </row>
    <row r="92" spans="1:11" ht="12.75">
      <c r="A92" s="569"/>
      <c r="B92" s="651"/>
      <c r="C92" s="675"/>
      <c r="D92" s="675"/>
      <c r="E92" s="675"/>
      <c r="F92" s="675"/>
      <c r="G92" s="728"/>
      <c r="H92" s="728"/>
      <c r="I92" s="728"/>
      <c r="J92" s="728"/>
      <c r="K92" s="727"/>
    </row>
    <row r="93" spans="1:11" ht="12.75">
      <c r="A93" s="718" t="s">
        <v>719</v>
      </c>
      <c r="B93" s="718"/>
      <c r="C93" s="719"/>
      <c r="D93" s="675" t="s">
        <v>195</v>
      </c>
      <c r="E93" s="675"/>
      <c r="F93" s="675"/>
      <c r="G93" s="728"/>
      <c r="H93" s="728"/>
      <c r="I93" s="728"/>
      <c r="J93" s="728"/>
      <c r="K93" s="727"/>
    </row>
    <row r="94" spans="1:11" ht="12.75">
      <c r="A94" s="569"/>
      <c r="B94" s="651"/>
      <c r="C94" s="738"/>
      <c r="E94" s="738"/>
      <c r="F94" s="766" t="s">
        <v>713</v>
      </c>
      <c r="G94" s="766"/>
      <c r="H94" s="766"/>
      <c r="I94" s="569"/>
      <c r="J94" s="728"/>
      <c r="K94" s="727"/>
    </row>
    <row r="95" spans="1:11" ht="56.25">
      <c r="A95" s="573" t="s">
        <v>399</v>
      </c>
      <c r="B95" s="573" t="s">
        <v>400</v>
      </c>
      <c r="C95" s="563" t="s">
        <v>725</v>
      </c>
      <c r="D95" s="717" t="s">
        <v>710</v>
      </c>
      <c r="E95" s="740" t="s">
        <v>693</v>
      </c>
      <c r="F95" s="741" t="s">
        <v>710</v>
      </c>
      <c r="G95" s="729" t="s">
        <v>693</v>
      </c>
      <c r="H95" s="733" t="s">
        <v>720</v>
      </c>
      <c r="I95" s="731" t="s">
        <v>609</v>
      </c>
      <c r="J95" s="737"/>
      <c r="K95" s="727"/>
    </row>
    <row r="96" spans="1:11" ht="12.75">
      <c r="A96" s="547">
        <v>511000</v>
      </c>
      <c r="B96" s="547" t="s">
        <v>715</v>
      </c>
      <c r="C96" s="549">
        <f>C97</f>
        <v>6761600</v>
      </c>
      <c r="D96" s="549">
        <v>6761600</v>
      </c>
      <c r="E96" s="557"/>
      <c r="F96" s="549">
        <f>F97</f>
        <v>6761600</v>
      </c>
      <c r="G96" s="549"/>
      <c r="H96" s="549">
        <f>F96+G96</f>
        <v>6761600</v>
      </c>
      <c r="I96" s="557">
        <f>H96-C96</f>
        <v>0</v>
      </c>
      <c r="J96" s="738"/>
      <c r="K96" s="727"/>
    </row>
    <row r="97" spans="1:11" ht="12.75">
      <c r="A97" s="563">
        <v>5113</v>
      </c>
      <c r="B97" s="717" t="s">
        <v>723</v>
      </c>
      <c r="C97" s="557">
        <f aca="true" t="shared" si="14" ref="C97:C102">D97+E97</f>
        <v>6761600</v>
      </c>
      <c r="D97" s="557">
        <v>6761600</v>
      </c>
      <c r="E97" s="557"/>
      <c r="F97" s="557">
        <v>6761600</v>
      </c>
      <c r="G97" s="557"/>
      <c r="H97" s="557">
        <f>F97+G97</f>
        <v>6761600</v>
      </c>
      <c r="I97" s="557">
        <f aca="true" t="shared" si="15" ref="I97:I102">H97-C97</f>
        <v>0</v>
      </c>
      <c r="J97" s="738"/>
      <c r="K97" s="727"/>
    </row>
    <row r="98" spans="1:11" ht="12.75">
      <c r="A98" s="547">
        <v>512000</v>
      </c>
      <c r="B98" s="573" t="s">
        <v>707</v>
      </c>
      <c r="C98" s="549">
        <f>C99+C100</f>
        <v>12202000</v>
      </c>
      <c r="D98" s="549">
        <f>D99+D100</f>
        <v>12202000</v>
      </c>
      <c r="E98" s="557"/>
      <c r="F98" s="549">
        <f>F99+F100</f>
        <v>12202000</v>
      </c>
      <c r="G98" s="549">
        <f>G99</f>
        <v>5670000</v>
      </c>
      <c r="H98" s="549">
        <f>H99+H100</f>
        <v>17872000</v>
      </c>
      <c r="I98" s="549">
        <f>I99</f>
        <v>5670000</v>
      </c>
      <c r="J98" s="738"/>
      <c r="K98" s="727"/>
    </row>
    <row r="99" spans="1:11" ht="12.75">
      <c r="A99" s="563">
        <v>5125</v>
      </c>
      <c r="B99" s="717" t="s">
        <v>694</v>
      </c>
      <c r="C99" s="557">
        <f t="shared" si="14"/>
        <v>10462000</v>
      </c>
      <c r="D99" s="557">
        <f>4600000+1464000+1200000+276000+1932000+990000</f>
        <v>10462000</v>
      </c>
      <c r="E99" s="557"/>
      <c r="F99" s="557">
        <f>4600000+1464000+1200000+276000+1932000+990000</f>
        <v>10462000</v>
      </c>
      <c r="G99" s="557">
        <v>5670000</v>
      </c>
      <c r="H99" s="557">
        <f>F99+G99</f>
        <v>16132000</v>
      </c>
      <c r="I99" s="557">
        <f t="shared" si="15"/>
        <v>5670000</v>
      </c>
      <c r="J99" s="738"/>
      <c r="K99" s="727"/>
    </row>
    <row r="100" spans="1:11" ht="12.75">
      <c r="A100" s="563">
        <v>5122</v>
      </c>
      <c r="B100" s="717" t="s">
        <v>717</v>
      </c>
      <c r="C100" s="557">
        <f t="shared" si="14"/>
        <v>1740000</v>
      </c>
      <c r="D100" s="557">
        <v>1740000</v>
      </c>
      <c r="E100" s="557"/>
      <c r="F100" s="557">
        <v>1740000</v>
      </c>
      <c r="G100" s="557"/>
      <c r="H100" s="557">
        <f>F100+G100</f>
        <v>1740000</v>
      </c>
      <c r="I100" s="557">
        <f t="shared" si="15"/>
        <v>0</v>
      </c>
      <c r="J100" s="738"/>
      <c r="K100" s="727"/>
    </row>
    <row r="101" spans="1:11" ht="12.75">
      <c r="A101" s="547">
        <v>512000</v>
      </c>
      <c r="B101" s="573" t="s">
        <v>714</v>
      </c>
      <c r="C101" s="557">
        <f t="shared" si="14"/>
        <v>6700000</v>
      </c>
      <c r="D101" s="557">
        <v>6700000</v>
      </c>
      <c r="E101" s="557"/>
      <c r="F101" s="549">
        <v>6700000</v>
      </c>
      <c r="G101" s="549"/>
      <c r="H101" s="549">
        <f>F101+G101</f>
        <v>6700000</v>
      </c>
      <c r="I101" s="557">
        <f t="shared" si="15"/>
        <v>0</v>
      </c>
      <c r="J101" s="738"/>
      <c r="K101" s="727"/>
    </row>
    <row r="102" spans="1:11" ht="12.75">
      <c r="A102" s="569"/>
      <c r="B102" s="573" t="s">
        <v>357</v>
      </c>
      <c r="C102" s="557">
        <f t="shared" si="14"/>
        <v>25663600</v>
      </c>
      <c r="D102" s="557">
        <f>D96+D99+D100+D101</f>
        <v>25663600</v>
      </c>
      <c r="E102" s="557">
        <f>E96+E98+E101</f>
        <v>0</v>
      </c>
      <c r="F102" s="549">
        <f>F96+F98+F101</f>
        <v>25663600</v>
      </c>
      <c r="G102" s="549">
        <f>G96+G98+G101</f>
        <v>5670000</v>
      </c>
      <c r="H102" s="549">
        <f>H96+H98+H101</f>
        <v>31333600</v>
      </c>
      <c r="I102" s="557">
        <f t="shared" si="15"/>
        <v>5670000</v>
      </c>
      <c r="J102" s="738"/>
      <c r="K102" s="727"/>
    </row>
    <row r="103" spans="1:11" ht="12.75">
      <c r="A103" s="569"/>
      <c r="B103" s="674"/>
      <c r="C103" s="675"/>
      <c r="D103" s="675"/>
      <c r="E103" s="675"/>
      <c r="F103" s="675"/>
      <c r="G103" s="728"/>
      <c r="H103" s="728"/>
      <c r="I103" s="728"/>
      <c r="J103" s="727"/>
      <c r="K103" s="727"/>
    </row>
    <row r="104" spans="3:8" ht="12.75">
      <c r="C104" s="9"/>
      <c r="F104" s="81"/>
      <c r="H104" s="81"/>
    </row>
    <row r="105" ht="12.75">
      <c r="C105" s="9"/>
    </row>
  </sheetData>
  <sheetProtection/>
  <mergeCells count="3">
    <mergeCell ref="G2:J2"/>
    <mergeCell ref="G40:J40"/>
    <mergeCell ref="F94:H9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2015-11-17T08:59:28Z</cp:lastPrinted>
  <dcterms:created xsi:type="dcterms:W3CDTF">2008-04-04T16:04:18Z</dcterms:created>
  <dcterms:modified xsi:type="dcterms:W3CDTF">2016-01-05T13:35:16Z</dcterms:modified>
  <cp:category/>
  <cp:version/>
  <cp:contentType/>
  <cp:contentStatus/>
</cp:coreProperties>
</file>